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Desktop\"/>
    </mc:Choice>
  </mc:AlternateContent>
  <xr:revisionPtr revIDLastSave="0" documentId="13_ncr:1_{7BF190EF-115F-4353-9EF5-D19CF9A8FEC3}" xr6:coauthVersionLast="47" xr6:coauthVersionMax="47" xr10:uidLastSave="{00000000-0000-0000-0000-000000000000}"/>
  <bookViews>
    <workbookView showSheetTabs="0" xWindow="28680" yWindow="-120" windowWidth="20730" windowHeight="11040" activeTab="1" xr2:uid="{00000000-000D-0000-FFFF-FFFF00000000}"/>
  </bookViews>
  <sheets>
    <sheet name="ANOTAÇÕES" sheetId="29" r:id="rId1"/>
    <sheet name="INDICE" sheetId="7" r:id="rId2"/>
    <sheet name="EXTRATO" sheetId="20" r:id="rId3"/>
    <sheet name="DEPRECIAÇÃO" sheetId="18" r:id="rId4"/>
    <sheet name="ESTOQUE" sheetId="19" r:id="rId5"/>
    <sheet name="APURAÇÃO" sheetId="16" r:id="rId6"/>
    <sheet name="PLANO DE CONTAS" sheetId="1" r:id="rId7"/>
    <sheet name="LANÇAMENTOS" sheetId="4" r:id="rId8"/>
    <sheet name="DIÁRIO" sheetId="5" r:id="rId9"/>
    <sheet name="RAZÃO" sheetId="8" r:id="rId10"/>
    <sheet name="BALANCETE" sheetId="6" r:id="rId11"/>
    <sheet name="BALANÇO" sheetId="3" r:id="rId12"/>
    <sheet name="DRE" sheetId="2" r:id="rId13"/>
    <sheet name="TABELA ICMS" sheetId="10" r:id="rId14"/>
    <sheet name="ALÍQUOTA ICMS" sheetId="17" r:id="rId15"/>
    <sheet name="ICMS" sheetId="11" r:id="rId16"/>
    <sheet name="ISS" sheetId="12" r:id="rId17"/>
    <sheet name="PIS E COFINS" sheetId="13" r:id="rId18"/>
    <sheet name="IRPJ E CSLL" sheetId="15" r:id="rId19"/>
    <sheet name="GRÁFICOS" sheetId="21" r:id="rId20"/>
    <sheet name="EFD CONTRIBUIÇÕES" sheetId="24" r:id="rId21"/>
    <sheet name="EFD ICMS IPI" sheetId="23" r:id="rId22"/>
    <sheet name="TXT EFD ICMS IPI OUT" sheetId="22" r:id="rId23"/>
    <sheet name="CRUZAMENTO" sheetId="26" r:id="rId24"/>
    <sheet name="TXT EFD CONTRIBUIÇÕES" sheetId="25" r:id="rId25"/>
    <sheet name="DRE NBG TG 1002" sheetId="27" r:id="rId26"/>
    <sheet name="BP NBC TG 1002" sheetId="28" r:id="rId27"/>
  </sheets>
  <definedNames>
    <definedName name="_xlnm._FilterDatabase" localSheetId="24" hidden="1">'TXT EFD CONTRIBUIÇÕES'!$A$2:$AM$96</definedName>
    <definedName name="_xlnm._FilterDatabase" localSheetId="22" hidden="1">'TXT EFD ICMS IPI OUT'!$A$2:$AN$96</definedName>
    <definedName name="BALANCETE">BALANCETE!$B$5:$I$6</definedName>
    <definedName name="PLANO">'PLANO DE CONTAS'!$B$6:$C$124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7" l="1"/>
  <c r="D28" i="27" s="1"/>
  <c r="D21" i="27"/>
  <c r="D15" i="27"/>
  <c r="D11" i="27"/>
  <c r="D10" i="27"/>
  <c r="C27" i="28"/>
  <c r="C22" i="28"/>
  <c r="C21" i="28"/>
  <c r="C16" i="28"/>
  <c r="C9" i="28"/>
  <c r="C8" i="28"/>
  <c r="N86" i="26"/>
  <c r="N81" i="26"/>
  <c r="N82" i="26"/>
  <c r="N83" i="26"/>
  <c r="N84" i="26"/>
  <c r="N85" i="26"/>
  <c r="N80" i="26"/>
  <c r="L81" i="26"/>
  <c r="L82" i="26"/>
  <c r="L83" i="26"/>
  <c r="L84" i="26"/>
  <c r="L85" i="26"/>
  <c r="L80" i="26"/>
  <c r="J86" i="26"/>
  <c r="H85" i="26"/>
  <c r="F85" i="26"/>
  <c r="J85" i="26"/>
  <c r="J81" i="26"/>
  <c r="J82" i="26"/>
  <c r="J83" i="26"/>
  <c r="J84" i="26"/>
  <c r="J80" i="26"/>
  <c r="F81" i="26"/>
  <c r="F82" i="26"/>
  <c r="F83" i="26"/>
  <c r="F84" i="26"/>
  <c r="F80" i="26"/>
  <c r="H81" i="26"/>
  <c r="H82" i="26"/>
  <c r="H83" i="26"/>
  <c r="H84" i="26"/>
  <c r="H80" i="26"/>
  <c r="P68" i="26"/>
  <c r="P67" i="26"/>
  <c r="N74" i="26"/>
  <c r="J74" i="26"/>
  <c r="N73" i="26"/>
  <c r="J73" i="26"/>
  <c r="N69" i="26"/>
  <c r="J69" i="26"/>
  <c r="N66" i="26"/>
  <c r="N67" i="26"/>
  <c r="N68" i="26"/>
  <c r="N65" i="26"/>
  <c r="J66" i="26"/>
  <c r="J67" i="26"/>
  <c r="J68" i="26"/>
  <c r="J65" i="26"/>
  <c r="L51" i="26"/>
  <c r="L52" i="26"/>
  <c r="L53" i="26"/>
  <c r="L54" i="26"/>
  <c r="L55" i="26"/>
  <c r="L50" i="26"/>
  <c r="J51" i="26"/>
  <c r="J52" i="26"/>
  <c r="J53" i="26"/>
  <c r="J54" i="26"/>
  <c r="J55" i="26"/>
  <c r="J50" i="26"/>
  <c r="H51" i="26"/>
  <c r="H52" i="26"/>
  <c r="H53" i="26"/>
  <c r="H54" i="26"/>
  <c r="H55" i="26"/>
  <c r="H50" i="26"/>
  <c r="F35" i="26"/>
  <c r="F51" i="26"/>
  <c r="F52" i="26"/>
  <c r="F53" i="26"/>
  <c r="F54" i="26"/>
  <c r="F55" i="26"/>
  <c r="F50" i="26"/>
  <c r="L41" i="26"/>
  <c r="L42" i="26"/>
  <c r="L43" i="26"/>
  <c r="L44" i="26"/>
  <c r="L45" i="26"/>
  <c r="L40" i="26"/>
  <c r="J41" i="26"/>
  <c r="J42" i="26"/>
  <c r="J43" i="26"/>
  <c r="J44" i="26"/>
  <c r="J45" i="26"/>
  <c r="J40" i="26"/>
  <c r="H41" i="26"/>
  <c r="H42" i="26"/>
  <c r="H43" i="26"/>
  <c r="H44" i="26"/>
  <c r="H45" i="26"/>
  <c r="H40" i="26"/>
  <c r="F27" i="26"/>
  <c r="F41" i="26"/>
  <c r="F46" i="26" s="1"/>
  <c r="F42" i="26"/>
  <c r="F43" i="26"/>
  <c r="F44" i="26"/>
  <c r="F45" i="26"/>
  <c r="F40" i="26"/>
  <c r="O25" i="26"/>
  <c r="O23" i="26"/>
  <c r="O24" i="26"/>
  <c r="J32" i="26"/>
  <c r="L32" i="26" s="1"/>
  <c r="J33" i="26"/>
  <c r="L33" i="26" s="1"/>
  <c r="J34" i="26"/>
  <c r="L34" i="26" s="1"/>
  <c r="J31" i="26"/>
  <c r="L31" i="26" s="1"/>
  <c r="J22" i="26"/>
  <c r="L22" i="26" s="1"/>
  <c r="J23" i="26"/>
  <c r="L23" i="26" s="1"/>
  <c r="J24" i="26"/>
  <c r="L24" i="26" s="1"/>
  <c r="J25" i="26"/>
  <c r="L25" i="26" s="1"/>
  <c r="J26" i="26"/>
  <c r="L26" i="26" s="1"/>
  <c r="J21" i="26"/>
  <c r="L21" i="26" s="1"/>
  <c r="L27" i="26" s="1"/>
  <c r="H8" i="26"/>
  <c r="H9" i="26"/>
  <c r="H10" i="26"/>
  <c r="H11" i="26"/>
  <c r="H12" i="26"/>
  <c r="H13" i="26"/>
  <c r="H7" i="26"/>
  <c r="F8" i="26"/>
  <c r="F9" i="26"/>
  <c r="F10" i="26"/>
  <c r="F11" i="26"/>
  <c r="F12" i="26"/>
  <c r="F13" i="26"/>
  <c r="F7" i="26"/>
  <c r="B28" i="21" a="1"/>
  <c r="B28" i="21" s="1"/>
  <c r="B26" i="21" a="1"/>
  <c r="B26" i="21" s="1"/>
  <c r="K36" i="15"/>
  <c r="K34" i="15"/>
  <c r="I33" i="15"/>
  <c r="I34" i="15" s="1"/>
  <c r="G33" i="15"/>
  <c r="G34" i="15" s="1"/>
  <c r="E33" i="15"/>
  <c r="E34" i="15" s="1"/>
  <c r="K72" i="15"/>
  <c r="K77" i="15" s="1"/>
  <c r="K79" i="15" s="1"/>
  <c r="K80" i="15" s="1"/>
  <c r="K69" i="15"/>
  <c r="K67" i="15"/>
  <c r="K16" i="15"/>
  <c r="F238" i="5"/>
  <c r="C11" i="2"/>
  <c r="C12" i="2"/>
  <c r="C19" i="2"/>
  <c r="C20" i="2"/>
  <c r="F15" i="3"/>
  <c r="F19" i="3"/>
  <c r="F24" i="3"/>
  <c r="F25" i="3"/>
  <c r="C13" i="3"/>
  <c r="C14" i="3"/>
  <c r="B7" i="21" a="1"/>
  <c r="B7" i="21" s="1"/>
  <c r="L13" i="21" s="1"/>
  <c r="B5" i="21" a="1"/>
  <c r="B5" i="21" s="1"/>
  <c r="L12" i="21" s="1"/>
  <c r="F86" i="26" l="1"/>
  <c r="L56" i="26"/>
  <c r="O40" i="26" s="1"/>
  <c r="F56" i="26"/>
  <c r="L46" i="26"/>
  <c r="O41" i="26" s="1"/>
  <c r="O42" i="26" s="1"/>
  <c r="L35" i="26"/>
  <c r="M31" i="21"/>
  <c r="K83" i="15"/>
  <c r="K85" i="15" s="1"/>
  <c r="K82" i="15"/>
  <c r="M30" i="21"/>
  <c r="K88" i="15" l="1"/>
  <c r="K87" i="15"/>
  <c r="D21" i="2"/>
  <c r="C20" i="3"/>
  <c r="C21" i="3"/>
  <c r="C22" i="3"/>
  <c r="C23" i="3"/>
  <c r="C24" i="3"/>
  <c r="C25" i="3"/>
  <c r="T47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T33" i="8"/>
  <c r="D86" i="8"/>
  <c r="C86" i="8"/>
  <c r="C87" i="8" s="1"/>
  <c r="D238" i="5"/>
  <c r="D237" i="5"/>
  <c r="D223" i="5"/>
  <c r="O99" i="8"/>
  <c r="D233" i="5"/>
  <c r="D234" i="5"/>
  <c r="D235" i="5"/>
  <c r="I20" i="15"/>
  <c r="F234" i="5"/>
  <c r="F235" i="5" s="1"/>
  <c r="D231" i="5"/>
  <c r="D232" i="5"/>
  <c r="D230" i="5"/>
  <c r="D229" i="5"/>
  <c r="T32" i="8"/>
  <c r="T31" i="8"/>
  <c r="O113" i="8"/>
  <c r="O106" i="8"/>
  <c r="O92" i="8"/>
  <c r="O85" i="8"/>
  <c r="O78" i="8"/>
  <c r="G104" i="8"/>
  <c r="G95" i="8"/>
  <c r="G86" i="8"/>
  <c r="G76" i="8"/>
  <c r="G66" i="8"/>
  <c r="G56" i="8"/>
  <c r="G47" i="8"/>
  <c r="G33" i="8"/>
  <c r="G14" i="8"/>
  <c r="D83" i="8"/>
  <c r="D74" i="8"/>
  <c r="C74" i="8"/>
  <c r="D67" i="8"/>
  <c r="D53" i="8"/>
  <c r="F227" i="5"/>
  <c r="D227" i="5"/>
  <c r="D226" i="5"/>
  <c r="D40" i="8"/>
  <c r="D13" i="8"/>
  <c r="D178" i="5"/>
  <c r="S28" i="8"/>
  <c r="S27" i="8"/>
  <c r="S26" i="8"/>
  <c r="S25" i="8"/>
  <c r="S24" i="8"/>
  <c r="S23" i="8"/>
  <c r="S22" i="8"/>
  <c r="S21" i="8"/>
  <c r="S20" i="8"/>
  <c r="S18" i="8"/>
  <c r="S17" i="8"/>
  <c r="S16" i="8"/>
  <c r="S15" i="8"/>
  <c r="T17" i="8"/>
  <c r="T16" i="8"/>
  <c r="S13" i="8"/>
  <c r="S12" i="8"/>
  <c r="S11" i="8"/>
  <c r="S9" i="8"/>
  <c r="T7" i="8"/>
  <c r="T6" i="8"/>
  <c r="S8" i="8"/>
  <c r="S7" i="8"/>
  <c r="S6" i="8"/>
  <c r="O20" i="8"/>
  <c r="O22" i="8" s="1"/>
  <c r="O28" i="8"/>
  <c r="O30" i="8" s="1"/>
  <c r="O8" i="8"/>
  <c r="O10" i="8" s="1"/>
  <c r="O70" i="8"/>
  <c r="O72" i="8" s="1"/>
  <c r="O62" i="8"/>
  <c r="O64" i="8" s="1"/>
  <c r="O54" i="8"/>
  <c r="O56" i="8" s="1"/>
  <c r="O45" i="8"/>
  <c r="S19" i="8" s="1"/>
  <c r="O44" i="8"/>
  <c r="S10" i="8" s="1"/>
  <c r="O38" i="8"/>
  <c r="O40" i="8" s="1"/>
  <c r="G43" i="8"/>
  <c r="H54" i="8"/>
  <c r="H56" i="8" s="1"/>
  <c r="H63" i="8"/>
  <c r="G63" i="8"/>
  <c r="H30" i="8"/>
  <c r="G30" i="8"/>
  <c r="H102" i="8"/>
  <c r="H104" i="8" s="1"/>
  <c r="H93" i="8"/>
  <c r="H95" i="8" s="1"/>
  <c r="G83" i="8"/>
  <c r="H73" i="8"/>
  <c r="H76" i="8" s="1"/>
  <c r="G11" i="8"/>
  <c r="C81" i="8"/>
  <c r="C83" i="8" s="1"/>
  <c r="L16" i="8"/>
  <c r="L18" i="8" s="1"/>
  <c r="L8" i="8"/>
  <c r="L10" i="8" s="1"/>
  <c r="D64" i="8"/>
  <c r="D48" i="8"/>
  <c r="C48" i="8"/>
  <c r="D9" i="8"/>
  <c r="C9" i="8"/>
  <c r="M33" i="6"/>
  <c r="F223" i="5"/>
  <c r="F224" i="5" s="1"/>
  <c r="D222" i="5"/>
  <c r="D224" i="5"/>
  <c r="F220" i="5"/>
  <c r="F221" i="5" s="1"/>
  <c r="D218" i="5"/>
  <c r="D219" i="5"/>
  <c r="D220" i="5"/>
  <c r="D221" i="5"/>
  <c r="F159" i="5"/>
  <c r="D161" i="5"/>
  <c r="D162" i="5"/>
  <c r="D163" i="5"/>
  <c r="D164" i="5"/>
  <c r="D160" i="5"/>
  <c r="D24" i="1"/>
  <c r="D25" i="1"/>
  <c r="D26" i="1"/>
  <c r="D27" i="1"/>
  <c r="D23" i="1"/>
  <c r="D60" i="8"/>
  <c r="C60" i="8"/>
  <c r="H81" i="8"/>
  <c r="H83" i="8" s="1"/>
  <c r="H40" i="8"/>
  <c r="H43" i="8" s="1"/>
  <c r="H20" i="8"/>
  <c r="H8" i="8"/>
  <c r="H11" i="8" s="1"/>
  <c r="H105" i="8" l="1"/>
  <c r="H96" i="8"/>
  <c r="H77" i="8"/>
  <c r="H57" i="8"/>
  <c r="C84" i="8"/>
  <c r="C75" i="8"/>
  <c r="O46" i="8"/>
  <c r="O48" i="8" s="1"/>
  <c r="C10" i="8"/>
  <c r="C13" i="8" s="1"/>
  <c r="C14" i="8" s="1"/>
  <c r="H84" i="8"/>
  <c r="H86" i="8" s="1"/>
  <c r="H87" i="8" s="1"/>
  <c r="S14" i="8"/>
  <c r="S29" i="8" s="1"/>
  <c r="T48" i="8" s="1"/>
  <c r="T14" i="8"/>
  <c r="T29" i="8" s="1"/>
  <c r="H12" i="8"/>
  <c r="H14" i="8" s="1"/>
  <c r="H15" i="8" s="1"/>
  <c r="H44" i="8"/>
  <c r="H47" i="8" s="1"/>
  <c r="H48" i="8" s="1"/>
  <c r="H31" i="8"/>
  <c r="H33" i="8" s="1"/>
  <c r="H34" i="8" s="1"/>
  <c r="H64" i="8"/>
  <c r="H66" i="8" s="1"/>
  <c r="H67" i="8" s="1"/>
  <c r="C49" i="8"/>
  <c r="C53" i="8" s="1"/>
  <c r="C54" i="8" s="1"/>
  <c r="C61" i="8"/>
  <c r="C64" i="8" s="1"/>
  <c r="C65" i="8" s="1"/>
  <c r="C67" i="8" s="1"/>
  <c r="C68" i="8" s="1"/>
  <c r="D32" i="8"/>
  <c r="F141" i="5"/>
  <c r="F138" i="5"/>
  <c r="D136" i="5"/>
  <c r="D139" i="5"/>
  <c r="F134" i="5"/>
  <c r="F135" i="5" s="1"/>
  <c r="T8" i="11"/>
  <c r="R8" i="11"/>
  <c r="P8" i="11"/>
  <c r="E32" i="11"/>
  <c r="E28" i="11"/>
  <c r="E29" i="11" s="1"/>
  <c r="E30" i="11" s="1"/>
  <c r="G10" i="18"/>
  <c r="F77" i="5"/>
  <c r="G6" i="18"/>
  <c r="D79" i="5"/>
  <c r="D82" i="5"/>
  <c r="D85" i="5"/>
  <c r="D88" i="5"/>
  <c r="D91" i="5"/>
  <c r="D94" i="5"/>
  <c r="D97" i="5"/>
  <c r="D101" i="5"/>
  <c r="D104" i="5"/>
  <c r="D107" i="5"/>
  <c r="D110" i="5"/>
  <c r="D115" i="5"/>
  <c r="D121" i="5"/>
  <c r="D130" i="5"/>
  <c r="D68" i="5"/>
  <c r="D72" i="5"/>
  <c r="D75" i="5"/>
  <c r="D7" i="1"/>
  <c r="D8" i="1"/>
  <c r="D9" i="1"/>
  <c r="D90" i="5" s="1"/>
  <c r="D10" i="1"/>
  <c r="D108" i="5" s="1"/>
  <c r="D11" i="1"/>
  <c r="D12" i="1"/>
  <c r="D32" i="5" s="1"/>
  <c r="D13" i="1"/>
  <c r="D14" i="1"/>
  <c r="D15" i="1"/>
  <c r="D69" i="5" s="1"/>
  <c r="D16" i="1"/>
  <c r="D17" i="1"/>
  <c r="D18" i="1"/>
  <c r="D19" i="1"/>
  <c r="D20" i="1"/>
  <c r="D77" i="5" s="1"/>
  <c r="D21" i="1"/>
  <c r="D22" i="1"/>
  <c r="D74" i="5" s="1"/>
  <c r="D28" i="1"/>
  <c r="D29" i="1"/>
  <c r="D30" i="1"/>
  <c r="D31" i="1"/>
  <c r="D32" i="1"/>
  <c r="D33" i="1"/>
  <c r="D34" i="1"/>
  <c r="D35" i="1"/>
  <c r="D36" i="1"/>
  <c r="D37" i="1"/>
  <c r="D38" i="1"/>
  <c r="D76" i="5" s="1"/>
  <c r="D39" i="1"/>
  <c r="D40" i="1"/>
  <c r="D23" i="5" s="1"/>
  <c r="D41" i="1"/>
  <c r="D120" i="5" s="1"/>
  <c r="D42" i="1"/>
  <c r="D43" i="1"/>
  <c r="D44" i="1"/>
  <c r="D45" i="1"/>
  <c r="D46" i="1"/>
  <c r="D47" i="1"/>
  <c r="D48" i="1"/>
  <c r="D26" i="5" s="1"/>
  <c r="D49" i="1"/>
  <c r="D50" i="1"/>
  <c r="D51" i="1"/>
  <c r="D52" i="1"/>
  <c r="D53" i="1"/>
  <c r="D54" i="1"/>
  <c r="D125" i="5" s="1"/>
  <c r="D55" i="1"/>
  <c r="D123" i="5" s="1"/>
  <c r="D56" i="1"/>
  <c r="D212" i="5" s="1"/>
  <c r="D57" i="1"/>
  <c r="D214" i="5" s="1"/>
  <c r="D58" i="1"/>
  <c r="D59" i="1"/>
  <c r="D60" i="1"/>
  <c r="D137" i="5" s="1"/>
  <c r="D61" i="1"/>
  <c r="D62" i="1"/>
  <c r="D66" i="5" s="1"/>
  <c r="D63" i="1"/>
  <c r="D45" i="5" s="1"/>
  <c r="D64" i="1"/>
  <c r="D95" i="5" s="1"/>
  <c r="D65" i="1"/>
  <c r="D41" i="5" s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" i="5" s="1"/>
  <c r="D82" i="1"/>
  <c r="D11" i="5" s="1"/>
  <c r="D83" i="1"/>
  <c r="D84" i="1"/>
  <c r="D85" i="1"/>
  <c r="D86" i="1"/>
  <c r="D87" i="1"/>
  <c r="D88" i="1"/>
  <c r="D89" i="1"/>
  <c r="D90" i="1"/>
  <c r="D91" i="1"/>
  <c r="D92" i="1"/>
  <c r="D93" i="1"/>
  <c r="D81" i="5" s="1"/>
  <c r="D94" i="1"/>
  <c r="D84" i="5" s="1"/>
  <c r="D95" i="1"/>
  <c r="D50" i="5" s="1"/>
  <c r="D96" i="1"/>
  <c r="D209" i="5" s="1"/>
  <c r="D97" i="1"/>
  <c r="D126" i="5" s="1"/>
  <c r="D98" i="1"/>
  <c r="D213" i="5" s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73" i="5" s="1"/>
  <c r="D114" i="1"/>
  <c r="D173" i="5" s="1"/>
  <c r="D115" i="1"/>
  <c r="D105" i="5" s="1"/>
  <c r="D116" i="1"/>
  <c r="D92" i="5" s="1"/>
  <c r="D117" i="1"/>
  <c r="D119" i="5" s="1"/>
  <c r="D118" i="1"/>
  <c r="D119" i="1"/>
  <c r="D111" i="5" s="1"/>
  <c r="D120" i="1"/>
  <c r="D47" i="5" s="1"/>
  <c r="D121" i="1"/>
  <c r="D44" i="5" s="1"/>
  <c r="D122" i="1"/>
  <c r="D123" i="1"/>
  <c r="D99" i="5" s="1"/>
  <c r="D124" i="1"/>
  <c r="D140" i="5" s="1"/>
  <c r="D125" i="1"/>
  <c r="D126" i="1"/>
  <c r="D127" i="1"/>
  <c r="D128" i="1"/>
  <c r="D6" i="1"/>
  <c r="F209" i="5"/>
  <c r="F210" i="5" s="1"/>
  <c r="D215" i="5"/>
  <c r="D9" i="5"/>
  <c r="D12" i="5"/>
  <c r="D13" i="5"/>
  <c r="D15" i="5"/>
  <c r="D17" i="5"/>
  <c r="D18" i="5"/>
  <c r="D19" i="5"/>
  <c r="D22" i="5"/>
  <c r="D25" i="5"/>
  <c r="D27" i="5"/>
  <c r="D31" i="5"/>
  <c r="D34" i="5"/>
  <c r="D35" i="5"/>
  <c r="D38" i="5"/>
  <c r="D43" i="5"/>
  <c r="D46" i="5"/>
  <c r="D49" i="5"/>
  <c r="D54" i="5"/>
  <c r="D55" i="5"/>
  <c r="D58" i="5"/>
  <c r="D61" i="5"/>
  <c r="D65" i="5"/>
  <c r="D143" i="5"/>
  <c r="D146" i="5"/>
  <c r="D147" i="5"/>
  <c r="D150" i="5"/>
  <c r="D153" i="5"/>
  <c r="D154" i="5"/>
  <c r="D157" i="5"/>
  <c r="D158" i="5"/>
  <c r="D159" i="5"/>
  <c r="D166" i="5"/>
  <c r="D168" i="5"/>
  <c r="D169" i="5"/>
  <c r="D170" i="5"/>
  <c r="D171" i="5"/>
  <c r="D172" i="5"/>
  <c r="D175" i="5"/>
  <c r="D176" i="5"/>
  <c r="D179" i="5"/>
  <c r="D182" i="5"/>
  <c r="D183" i="5"/>
  <c r="D186" i="5"/>
  <c r="D187" i="5"/>
  <c r="D188" i="5"/>
  <c r="D189" i="5"/>
  <c r="D191" i="5"/>
  <c r="D192" i="5"/>
  <c r="D195" i="5"/>
  <c r="D198" i="5"/>
  <c r="D200" i="5"/>
  <c r="D203" i="5"/>
  <c r="D204" i="5"/>
  <c r="D206" i="5"/>
  <c r="D22" i="8"/>
  <c r="C22" i="8"/>
  <c r="F63" i="5"/>
  <c r="F29" i="5"/>
  <c r="E8" i="11"/>
  <c r="T30" i="8" l="1"/>
  <c r="T15" i="8"/>
  <c r="D57" i="5"/>
  <c r="D217" i="5"/>
  <c r="D205" i="5"/>
  <c r="D148" i="5"/>
  <c r="D29" i="5"/>
  <c r="D201" i="5"/>
  <c r="D24" i="5"/>
  <c r="D60" i="5"/>
  <c r="D211" i="5"/>
  <c r="D39" i="5"/>
  <c r="D16" i="5"/>
  <c r="D196" i="5"/>
  <c r="D33" i="5"/>
  <c r="D190" i="5"/>
  <c r="D28" i="5"/>
  <c r="D208" i="5"/>
  <c r="D184" i="5"/>
  <c r="D51" i="5"/>
  <c r="D156" i="5"/>
  <c r="D70" i="5"/>
  <c r="D174" i="5"/>
  <c r="D167" i="5"/>
  <c r="D145" i="5"/>
  <c r="D36" i="5"/>
  <c r="D207" i="5"/>
  <c r="D144" i="5"/>
  <c r="D165" i="5"/>
  <c r="D181" i="5"/>
  <c r="D151" i="5"/>
  <c r="D152" i="5"/>
  <c r="D20" i="5"/>
  <c r="D114" i="5"/>
  <c r="D42" i="5"/>
  <c r="D62" i="5"/>
  <c r="D37" i="5"/>
  <c r="D103" i="5"/>
  <c r="D199" i="5"/>
  <c r="D134" i="5"/>
  <c r="D52" i="5"/>
  <c r="D87" i="5"/>
  <c r="D117" i="5"/>
  <c r="D116" i="5"/>
  <c r="D124" i="5"/>
  <c r="D56" i="5"/>
  <c r="D40" i="5"/>
  <c r="D216" i="5"/>
  <c r="D122" i="5"/>
  <c r="D89" i="5"/>
  <c r="D202" i="5"/>
  <c r="D185" i="5"/>
  <c r="D149" i="5"/>
  <c r="D21" i="5"/>
  <c r="D71" i="5"/>
  <c r="D53" i="5"/>
  <c r="D102" i="5"/>
  <c r="D86" i="5"/>
  <c r="D135" i="5"/>
  <c r="D67" i="5"/>
  <c r="D7" i="5"/>
  <c r="D180" i="5"/>
  <c r="D132" i="5"/>
  <c r="D83" i="5"/>
  <c r="D141" i="5"/>
  <c r="D131" i="5"/>
  <c r="D98" i="5"/>
  <c r="D100" i="5"/>
  <c r="D210" i="5"/>
  <c r="D194" i="5"/>
  <c r="D48" i="5"/>
  <c r="D14" i="5"/>
  <c r="D113" i="5"/>
  <c r="D197" i="5"/>
  <c r="D193" i="5"/>
  <c r="D177" i="5"/>
  <c r="D63" i="5"/>
  <c r="D30" i="5"/>
  <c r="D129" i="5"/>
  <c r="D112" i="5"/>
  <c r="D96" i="5"/>
  <c r="D80" i="5"/>
  <c r="D138" i="5"/>
  <c r="D78" i="5"/>
  <c r="D128" i="5"/>
  <c r="D155" i="5"/>
  <c r="D127" i="5"/>
  <c r="D10" i="5"/>
  <c r="D109" i="5"/>
  <c r="D93" i="5"/>
  <c r="D59" i="5"/>
  <c r="D106" i="5"/>
  <c r="C23" i="8"/>
  <c r="C32" i="8" s="1"/>
  <c r="C33" i="8" s="1"/>
  <c r="C40" i="8" s="1"/>
  <c r="C41" i="8" s="1"/>
  <c r="V121" i="6" l="1"/>
  <c r="V111" i="6"/>
  <c r="U94" i="6"/>
  <c r="V89" i="6"/>
  <c r="V71" i="6"/>
  <c r="U70" i="6"/>
  <c r="U33" i="6"/>
  <c r="U73" i="6"/>
  <c r="V118" i="6"/>
  <c r="V75" i="6"/>
  <c r="V96" i="6"/>
  <c r="U104" i="6"/>
  <c r="U76" i="6"/>
  <c r="U117" i="6"/>
  <c r="U89" i="6"/>
  <c r="V116" i="6"/>
  <c r="U88" i="6"/>
  <c r="V105" i="6"/>
  <c r="V68" i="6"/>
  <c r="V115" i="6"/>
  <c r="U86" i="6"/>
  <c r="U115" i="6"/>
  <c r="V99" i="6"/>
  <c r="U107" i="6"/>
  <c r="U84" i="6"/>
  <c r="U124" i="6"/>
  <c r="U67" i="6"/>
  <c r="V102" i="6"/>
  <c r="U93" i="6"/>
  <c r="U56" i="6"/>
  <c r="U121" i="6"/>
  <c r="U111" i="6"/>
  <c r="V94" i="6"/>
  <c r="V88" i="6"/>
  <c r="V72" i="6"/>
  <c r="U71" i="6"/>
  <c r="U34" i="6"/>
  <c r="V74" i="6"/>
  <c r="V129" i="6"/>
  <c r="U103" i="6"/>
  <c r="V85" i="6"/>
  <c r="V103" i="6"/>
  <c r="V76" i="6"/>
  <c r="V128" i="6"/>
  <c r="U97" i="6"/>
  <c r="V77" i="6"/>
  <c r="V97" i="6"/>
  <c r="V78" i="6"/>
  <c r="U105" i="6"/>
  <c r="U78" i="6"/>
  <c r="U116" i="6"/>
  <c r="U87" i="6"/>
  <c r="V125" i="6"/>
  <c r="U63" i="6"/>
  <c r="U125" i="6"/>
  <c r="V106" i="6"/>
  <c r="U85" i="6"/>
  <c r="V124" i="6"/>
  <c r="U100" i="6"/>
  <c r="V107" i="6"/>
  <c r="U83" i="6"/>
  <c r="V122" i="6"/>
  <c r="V112" i="6"/>
  <c r="V69" i="6"/>
  <c r="U68" i="6"/>
  <c r="U122" i="6"/>
  <c r="U102" i="6"/>
  <c r="U69" i="6"/>
  <c r="V120" i="6"/>
  <c r="V110" i="6"/>
  <c r="U95" i="6"/>
  <c r="V87" i="6"/>
  <c r="V73" i="6"/>
  <c r="U72" i="6"/>
  <c r="U35" i="6"/>
  <c r="U120" i="6"/>
  <c r="U110" i="6"/>
  <c r="V95" i="6"/>
  <c r="V86" i="6"/>
  <c r="U74" i="6"/>
  <c r="U129" i="6"/>
  <c r="U118" i="6"/>
  <c r="V84" i="6"/>
  <c r="U75" i="6"/>
  <c r="V117" i="6"/>
  <c r="V83" i="6"/>
  <c r="V104" i="6"/>
  <c r="U77" i="6"/>
  <c r="V127" i="6"/>
  <c r="V79" i="6"/>
  <c r="V98" i="6"/>
  <c r="U79" i="6"/>
  <c r="U106" i="6"/>
  <c r="U64" i="6"/>
  <c r="U65" i="6"/>
  <c r="V114" i="6"/>
  <c r="U66" i="6"/>
  <c r="U114" i="6"/>
  <c r="V100" i="6"/>
  <c r="V93" i="6"/>
  <c r="U31" i="6"/>
  <c r="U112" i="6"/>
  <c r="V70" i="6"/>
  <c r="U32" i="6"/>
  <c r="V41" i="6"/>
  <c r="V49" i="6"/>
  <c r="V48" i="6" s="1"/>
  <c r="U10" i="6"/>
  <c r="V43" i="6"/>
  <c r="U59" i="6"/>
  <c r="U51" i="6"/>
  <c r="V30" i="6"/>
  <c r="U11" i="6"/>
  <c r="U25" i="6"/>
  <c r="U13" i="6"/>
  <c r="U23" i="6"/>
  <c r="V37" i="6"/>
  <c r="V23" i="6"/>
  <c r="U42" i="6"/>
  <c r="U22" i="6"/>
  <c r="U50" i="6"/>
  <c r="U45" i="6"/>
  <c r="U24" i="6"/>
  <c r="V14" i="6"/>
  <c r="V44" i="6"/>
  <c r="V33" i="6"/>
  <c r="V45" i="6"/>
  <c r="U21" i="6"/>
  <c r="V22" i="6"/>
  <c r="V28" i="6"/>
  <c r="V35" i="6"/>
  <c r="V32" i="6"/>
  <c r="U27" i="6"/>
  <c r="U44" i="6"/>
  <c r="U39" i="6"/>
  <c r="V27" i="6"/>
  <c r="U54" i="6"/>
  <c r="V34" i="6"/>
  <c r="V18" i="6"/>
  <c r="V40" i="6"/>
  <c r="U61" i="6"/>
  <c r="V20" i="6"/>
  <c r="U16" i="6"/>
  <c r="U43" i="6"/>
  <c r="U58" i="6"/>
  <c r="V26" i="6"/>
  <c r="V16" i="6"/>
  <c r="V51" i="6"/>
  <c r="U52" i="6"/>
  <c r="U41" i="6"/>
  <c r="U26" i="6"/>
  <c r="V50" i="6"/>
  <c r="V31" i="6"/>
  <c r="V24" i="6"/>
  <c r="U37" i="6"/>
  <c r="V52" i="6"/>
  <c r="V17" i="6"/>
  <c r="U40" i="6"/>
  <c r="V54" i="6"/>
  <c r="V39" i="6"/>
  <c r="U38" i="6"/>
  <c r="U28" i="6"/>
  <c r="U49" i="6"/>
  <c r="U48" i="6" s="1"/>
  <c r="V38" i="6"/>
  <c r="V61" i="6"/>
  <c r="V55" i="6"/>
  <c r="U20" i="6"/>
  <c r="U60" i="6"/>
  <c r="V25" i="6"/>
  <c r="U57" i="6"/>
  <c r="N83" i="6"/>
  <c r="N117" i="6"/>
  <c r="N76" i="6"/>
  <c r="O25" i="6"/>
  <c r="N10" i="6"/>
  <c r="N40" i="6"/>
  <c r="O43" i="6"/>
  <c r="N38" i="6"/>
  <c r="O118" i="6"/>
  <c r="N116" i="6"/>
  <c r="N75" i="6"/>
  <c r="N104" i="6"/>
  <c r="N71" i="6"/>
  <c r="N111" i="6"/>
  <c r="N110" i="6"/>
  <c r="N27" i="6"/>
  <c r="O28" i="6"/>
  <c r="N93" i="6"/>
  <c r="N127" i="6"/>
  <c r="N64" i="6"/>
  <c r="O122" i="6"/>
  <c r="O129" i="6"/>
  <c r="N118" i="6"/>
  <c r="O79" i="6"/>
  <c r="O117" i="6"/>
  <c r="N73" i="6"/>
  <c r="N23" i="6"/>
  <c r="N112" i="6"/>
  <c r="O112" i="6"/>
  <c r="O111" i="6"/>
  <c r="N107" i="6"/>
  <c r="O99" i="6"/>
  <c r="O100" i="6"/>
  <c r="N95" i="6"/>
  <c r="O128" i="6"/>
  <c r="N25" i="6"/>
  <c r="O65" i="6"/>
  <c r="N124" i="6"/>
  <c r="O120" i="6"/>
  <c r="O41" i="6"/>
  <c r="O78" i="6"/>
  <c r="N34" i="6"/>
  <c r="N72" i="6"/>
  <c r="O114" i="6"/>
  <c r="O74" i="6"/>
  <c r="O73" i="6"/>
  <c r="O109" i="6"/>
  <c r="O49" i="6"/>
  <c r="O48" i="6" s="1"/>
  <c r="N54" i="6"/>
  <c r="O96" i="6"/>
  <c r="O89" i="6"/>
  <c r="N20" i="6"/>
  <c r="O84" i="6"/>
  <c r="O23" i="6"/>
  <c r="G24" i="6"/>
  <c r="H24" i="6"/>
  <c r="H26" i="6"/>
  <c r="H27" i="6"/>
  <c r="H28" i="6"/>
  <c r="G25" i="6"/>
  <c r="G28" i="6"/>
  <c r="G26" i="6"/>
  <c r="G27" i="6"/>
  <c r="H25" i="6"/>
  <c r="N105" i="6"/>
  <c r="N77" i="6"/>
  <c r="N61" i="6"/>
  <c r="O82" i="6"/>
  <c r="O110" i="6"/>
  <c r="O40" i="6"/>
  <c r="N115" i="6"/>
  <c r="N33" i="6"/>
  <c r="O75" i="6"/>
  <c r="O35" i="6"/>
  <c r="O34" i="6"/>
  <c r="O71" i="6"/>
  <c r="O126" i="6"/>
  <c r="N59" i="6"/>
  <c r="O124" i="6"/>
  <c r="N63" i="6"/>
  <c r="O22" i="6"/>
  <c r="N14" i="6"/>
  <c r="O17" i="6"/>
  <c r="O16" i="6"/>
  <c r="O52" i="6"/>
  <c r="V82" i="6"/>
  <c r="U18" i="6"/>
  <c r="V65" i="6"/>
  <c r="U82" i="6"/>
  <c r="U17" i="6"/>
  <c r="U30" i="6"/>
  <c r="V66" i="6"/>
  <c r="U14" i="6"/>
  <c r="N128" i="6"/>
  <c r="O106" i="6"/>
  <c r="O45" i="6"/>
  <c r="O125" i="6"/>
  <c r="N49" i="6"/>
  <c r="N48" i="6" s="1"/>
  <c r="O116" i="6"/>
  <c r="N114" i="6"/>
  <c r="O37" i="6"/>
  <c r="N89" i="6"/>
  <c r="O72" i="6"/>
  <c r="O32" i="6"/>
  <c r="N100" i="6"/>
  <c r="O60" i="6"/>
  <c r="N84" i="6"/>
  <c r="O87" i="6"/>
  <c r="N60" i="6"/>
  <c r="O24" i="6"/>
  <c r="N122" i="6"/>
  <c r="O93" i="6"/>
  <c r="O98" i="6"/>
  <c r="O18" i="6"/>
  <c r="N52" i="6"/>
  <c r="O54" i="6"/>
  <c r="N94" i="6"/>
  <c r="O101" i="6"/>
  <c r="N65" i="6"/>
  <c r="O69" i="6"/>
  <c r="N120" i="6"/>
  <c r="N22" i="6"/>
  <c r="N28" i="6"/>
  <c r="O27" i="6"/>
  <c r="N24" i="6"/>
  <c r="O77" i="6"/>
  <c r="O115" i="6"/>
  <c r="N68" i="6"/>
  <c r="N70" i="6"/>
  <c r="O33" i="6"/>
  <c r="N26" i="6"/>
  <c r="O66" i="6"/>
  <c r="N125" i="6"/>
  <c r="N44" i="6"/>
  <c r="O50" i="6"/>
  <c r="N101" i="6"/>
  <c r="N102" i="6"/>
  <c r="O105" i="6"/>
  <c r="N37" i="6"/>
  <c r="O68" i="6"/>
  <c r="O59" i="6"/>
  <c r="O97" i="6"/>
  <c r="N32" i="6"/>
  <c r="N87" i="6"/>
  <c r="O14" i="6"/>
  <c r="O107" i="6"/>
  <c r="N121" i="6"/>
  <c r="O61" i="6"/>
  <c r="N126" i="6"/>
  <c r="O30" i="6"/>
  <c r="O121" i="6"/>
  <c r="O103" i="6"/>
  <c r="O104" i="6"/>
  <c r="N74" i="6"/>
  <c r="N41" i="6"/>
  <c r="O39" i="6"/>
  <c r="O76" i="6"/>
  <c r="N88" i="6"/>
  <c r="N69" i="6"/>
  <c r="N86" i="6"/>
  <c r="O70" i="6"/>
  <c r="N13" i="6"/>
  <c r="N43" i="6"/>
  <c r="O26" i="6"/>
  <c r="N106" i="6"/>
  <c r="N42" i="6"/>
  <c r="O102" i="6"/>
  <c r="O44" i="6"/>
  <c r="N57" i="6"/>
  <c r="N56" i="6"/>
  <c r="N103" i="6"/>
  <c r="N51" i="6"/>
  <c r="N50" i="6"/>
  <c r="N85" i="6"/>
  <c r="O51" i="6"/>
  <c r="O86" i="6"/>
  <c r="N35" i="6"/>
  <c r="O85" i="6"/>
  <c r="N109" i="6"/>
  <c r="O38" i="6"/>
  <c r="N31" i="6"/>
  <c r="N30" i="6"/>
  <c r="N66" i="6"/>
  <c r="O31" i="6"/>
  <c r="N18" i="6"/>
  <c r="O127" i="6"/>
  <c r="O83" i="6"/>
  <c r="O88" i="6"/>
  <c r="N79" i="6"/>
  <c r="N58" i="6"/>
  <c r="N17" i="6"/>
  <c r="N78" i="6"/>
  <c r="N82" i="6"/>
  <c r="N81" i="6" s="1"/>
  <c r="O20" i="6"/>
  <c r="N11" i="6"/>
  <c r="N129" i="6"/>
  <c r="N45" i="6"/>
  <c r="H64" i="6"/>
  <c r="G18" i="6"/>
  <c r="H85" i="6"/>
  <c r="G35" i="6"/>
  <c r="H117" i="6"/>
  <c r="H122" i="6"/>
  <c r="H97" i="6"/>
  <c r="G127" i="6"/>
  <c r="H18" i="6"/>
  <c r="H39" i="6"/>
  <c r="H20" i="6"/>
  <c r="G40" i="6"/>
  <c r="H87" i="6"/>
  <c r="G23" i="6"/>
  <c r="G115" i="6"/>
  <c r="H61" i="6"/>
  <c r="G105" i="6"/>
  <c r="H78" i="6"/>
  <c r="H111" i="6"/>
  <c r="G93" i="6"/>
  <c r="H70" i="6"/>
  <c r="I87" i="6"/>
  <c r="M87" i="6" s="1"/>
  <c r="G128" i="6"/>
  <c r="G22" i="6"/>
  <c r="G72" i="6"/>
  <c r="H23" i="6"/>
  <c r="G106" i="6"/>
  <c r="H82" i="6"/>
  <c r="H51" i="6"/>
  <c r="H96" i="6"/>
  <c r="G86" i="6"/>
  <c r="H88" i="6"/>
  <c r="G74" i="6"/>
  <c r="G85" i="6"/>
  <c r="G78" i="6"/>
  <c r="G116" i="6"/>
  <c r="G54" i="6"/>
  <c r="G129" i="6"/>
  <c r="H22" i="6"/>
  <c r="H125" i="6"/>
  <c r="H45" i="6"/>
  <c r="H102" i="6"/>
  <c r="H35" i="6"/>
  <c r="H32" i="6"/>
  <c r="H103" i="6"/>
  <c r="G107" i="6"/>
  <c r="H93" i="6"/>
  <c r="H83" i="6"/>
  <c r="G42" i="6"/>
  <c r="H104" i="6"/>
  <c r="H17" i="6"/>
  <c r="G37" i="6"/>
  <c r="G64" i="6"/>
  <c r="G101" i="6"/>
  <c r="G120" i="6"/>
  <c r="H101" i="6"/>
  <c r="H34" i="6"/>
  <c r="H60" i="6"/>
  <c r="H112" i="6"/>
  <c r="H107" i="6"/>
  <c r="H120" i="6"/>
  <c r="G124" i="6"/>
  <c r="H106" i="6"/>
  <c r="H16" i="6"/>
  <c r="H121" i="6"/>
  <c r="H38" i="6"/>
  <c r="G103" i="6"/>
  <c r="G77" i="6"/>
  <c r="H14" i="6"/>
  <c r="H41" i="6"/>
  <c r="G63" i="6"/>
  <c r="G13" i="6"/>
  <c r="G100" i="6"/>
  <c r="G89" i="6"/>
  <c r="G70" i="6"/>
  <c r="H37" i="6"/>
  <c r="G34" i="6"/>
  <c r="G114" i="6"/>
  <c r="G44" i="6"/>
  <c r="H114" i="6"/>
  <c r="H100" i="6"/>
  <c r="H72" i="6"/>
  <c r="G58" i="6"/>
  <c r="G49" i="6"/>
  <c r="G48" i="6" s="1"/>
  <c r="G82" i="6"/>
  <c r="H86" i="6"/>
  <c r="G59" i="6"/>
  <c r="G52" i="6"/>
  <c r="G14" i="6"/>
  <c r="H105" i="6"/>
  <c r="G51" i="6"/>
  <c r="H116" i="6"/>
  <c r="G112" i="6"/>
  <c r="H52" i="6"/>
  <c r="H128" i="6"/>
  <c r="H99" i="6"/>
  <c r="G60" i="6"/>
  <c r="H68" i="6"/>
  <c r="H66" i="6"/>
  <c r="G95" i="6"/>
  <c r="H73" i="6"/>
  <c r="G20" i="6"/>
  <c r="G125" i="6"/>
  <c r="H44" i="6"/>
  <c r="G111" i="6"/>
  <c r="G38" i="6"/>
  <c r="H42" i="6"/>
  <c r="H13" i="6"/>
  <c r="G102" i="6"/>
  <c r="G31" i="6"/>
  <c r="H79" i="6"/>
  <c r="H33" i="6"/>
  <c r="H54" i="6"/>
  <c r="G104" i="6"/>
  <c r="G57" i="6"/>
  <c r="G45" i="6"/>
  <c r="H10" i="6"/>
  <c r="G118" i="6"/>
  <c r="H59" i="6"/>
  <c r="G88" i="6"/>
  <c r="H31" i="6"/>
  <c r="G68" i="6"/>
  <c r="G83" i="6"/>
  <c r="G117" i="6"/>
  <c r="H77" i="6"/>
  <c r="H110" i="6"/>
  <c r="I30" i="6"/>
  <c r="M30" i="6" s="1"/>
  <c r="H124" i="6"/>
  <c r="G94" i="6"/>
  <c r="G61" i="6"/>
  <c r="G110" i="6"/>
  <c r="H89" i="6"/>
  <c r="G76" i="6"/>
  <c r="I76" i="6"/>
  <c r="M76" i="6" s="1"/>
  <c r="G122" i="6"/>
  <c r="G65" i="6"/>
  <c r="I93" i="6"/>
  <c r="H98" i="6"/>
  <c r="G79" i="6"/>
  <c r="H40" i="6"/>
  <c r="G69" i="6"/>
  <c r="H115" i="6"/>
  <c r="H30" i="6"/>
  <c r="G10" i="6"/>
  <c r="G39" i="6"/>
  <c r="H84" i="6"/>
  <c r="G17" i="6"/>
  <c r="H69" i="6"/>
  <c r="G56" i="6"/>
  <c r="I84" i="6"/>
  <c r="M84" i="6" s="1"/>
  <c r="H129" i="6"/>
  <c r="G73" i="6"/>
  <c r="H118" i="6"/>
  <c r="H74" i="6"/>
  <c r="H127" i="6"/>
  <c r="G66" i="6"/>
  <c r="G11" i="6"/>
  <c r="H76" i="6"/>
  <c r="H49" i="6"/>
  <c r="H48" i="6" s="1"/>
  <c r="G32" i="6"/>
  <c r="F21" i="5"/>
  <c r="H11" i="6" s="1"/>
  <c r="F191" i="5"/>
  <c r="F148" i="5"/>
  <c r="F147" i="5" s="1"/>
  <c r="F47" i="5"/>
  <c r="G121" i="6" s="1"/>
  <c r="F24" i="5"/>
  <c r="G21" i="6" s="1"/>
  <c r="F23" i="5"/>
  <c r="G41" i="6" s="1"/>
  <c r="O17" i="19"/>
  <c r="K22" i="19"/>
  <c r="M42" i="19"/>
  <c r="O42" i="19" s="1"/>
  <c r="O44" i="19" s="1"/>
  <c r="K42" i="19"/>
  <c r="O53" i="19"/>
  <c r="K52" i="19"/>
  <c r="G41" i="19"/>
  <c r="O51" i="19"/>
  <c r="M50" i="19"/>
  <c r="O50" i="19" s="1"/>
  <c r="G50" i="19"/>
  <c r="M21" i="19"/>
  <c r="O21" i="19" s="1"/>
  <c r="K21" i="19"/>
  <c r="M58" i="19"/>
  <c r="O58" i="19" s="1"/>
  <c r="O64" i="19" s="1"/>
  <c r="K58" i="19"/>
  <c r="M31" i="19"/>
  <c r="O31" i="19" s="1"/>
  <c r="O35" i="19" s="1"/>
  <c r="K31" i="19"/>
  <c r="M40" i="19"/>
  <c r="M41" i="19" s="1"/>
  <c r="O41" i="19" s="1"/>
  <c r="K40" i="19"/>
  <c r="M13" i="19"/>
  <c r="O13" i="19" s="1"/>
  <c r="K13" i="19"/>
  <c r="K12" i="19"/>
  <c r="O49" i="19"/>
  <c r="O48" i="19"/>
  <c r="G48" i="19"/>
  <c r="O39" i="19"/>
  <c r="G39" i="19"/>
  <c r="O30" i="19"/>
  <c r="K30" i="19"/>
  <c r="O20" i="19"/>
  <c r="G20" i="19"/>
  <c r="O10" i="19"/>
  <c r="O11" i="19"/>
  <c r="G10" i="19"/>
  <c r="M47" i="19"/>
  <c r="O47" i="19" s="1"/>
  <c r="K47" i="19"/>
  <c r="M29" i="19"/>
  <c r="O29" i="19" s="1"/>
  <c r="K29" i="19"/>
  <c r="M38" i="19"/>
  <c r="O38" i="19" s="1"/>
  <c r="K38" i="19"/>
  <c r="M9" i="19"/>
  <c r="O9" i="19" s="1"/>
  <c r="K9" i="19"/>
  <c r="O57" i="19"/>
  <c r="G57" i="19"/>
  <c r="O46" i="19"/>
  <c r="G46" i="19"/>
  <c r="O37" i="19"/>
  <c r="G37" i="19"/>
  <c r="O28" i="19"/>
  <c r="G28" i="19"/>
  <c r="O19" i="19"/>
  <c r="G19" i="19"/>
  <c r="O8" i="19"/>
  <c r="G8" i="19"/>
  <c r="G21" i="20"/>
  <c r="G23" i="20" s="1"/>
  <c r="G25" i="20" s="1"/>
  <c r="G27" i="20" s="1"/>
  <c r="G41" i="20" s="1"/>
  <c r="G43" i="20" s="1"/>
  <c r="G45" i="20" s="1"/>
  <c r="G47" i="20" s="1"/>
  <c r="G52" i="20" s="1"/>
  <c r="G54" i="20" s="1"/>
  <c r="G56" i="20" s="1"/>
  <c r="G70" i="20" s="1"/>
  <c r="G72" i="20" s="1"/>
  <c r="G74" i="20" s="1"/>
  <c r="G77" i="20" s="1"/>
  <c r="G81" i="20" s="1"/>
  <c r="G83" i="20" s="1"/>
  <c r="G85" i="20" s="1"/>
  <c r="F20" i="20"/>
  <c r="N113" i="6" l="1"/>
  <c r="V101" i="6"/>
  <c r="U113" i="6"/>
  <c r="U123" i="6"/>
  <c r="V126" i="6"/>
  <c r="V109" i="6"/>
  <c r="U109" i="6"/>
  <c r="U101" i="6"/>
  <c r="U15" i="6"/>
  <c r="V92" i="6"/>
  <c r="U62" i="6"/>
  <c r="V119" i="6"/>
  <c r="U92" i="6"/>
  <c r="U119" i="6"/>
  <c r="V113" i="6"/>
  <c r="V123" i="6"/>
  <c r="U81" i="6"/>
  <c r="U80" i="6" s="1"/>
  <c r="V81" i="6"/>
  <c r="V80" i="6" s="1"/>
  <c r="V67" i="6"/>
  <c r="V15" i="6"/>
  <c r="U12" i="6"/>
  <c r="U9" i="6"/>
  <c r="U36" i="6"/>
  <c r="U29" i="6" s="1"/>
  <c r="I26" i="6"/>
  <c r="M26" i="6" s="1"/>
  <c r="P26" i="6" s="1"/>
  <c r="T26" i="6" s="1"/>
  <c r="W26" i="6" s="1"/>
  <c r="H123" i="6"/>
  <c r="N119" i="6"/>
  <c r="I25" i="6"/>
  <c r="M25" i="6" s="1"/>
  <c r="P25" i="6" s="1"/>
  <c r="T25" i="6" s="1"/>
  <c r="W25" i="6" s="1"/>
  <c r="N80" i="6"/>
  <c r="N67" i="6"/>
  <c r="I28" i="6"/>
  <c r="M28" i="6" s="1"/>
  <c r="P28" i="6" s="1"/>
  <c r="T28" i="6" s="1"/>
  <c r="W28" i="6" s="1"/>
  <c r="N92" i="6"/>
  <c r="O113" i="6"/>
  <c r="O67" i="6"/>
  <c r="P33" i="6"/>
  <c r="T33" i="6" s="1"/>
  <c r="W33" i="6" s="1"/>
  <c r="C17" i="3" s="1"/>
  <c r="O15" i="6"/>
  <c r="I24" i="6"/>
  <c r="M24" i="6" s="1"/>
  <c r="P24" i="6" s="1"/>
  <c r="T24" i="6" s="1"/>
  <c r="W24" i="6" s="1"/>
  <c r="O119" i="6"/>
  <c r="O81" i="6"/>
  <c r="O80" i="6" s="1"/>
  <c r="N123" i="6"/>
  <c r="N62" i="6"/>
  <c r="U19" i="6"/>
  <c r="N9" i="6"/>
  <c r="N12" i="6"/>
  <c r="O123" i="6"/>
  <c r="I27" i="6"/>
  <c r="M27" i="6" s="1"/>
  <c r="P27" i="6" s="1"/>
  <c r="T27" i="6" s="1"/>
  <c r="W27" i="6" s="1"/>
  <c r="I85" i="6"/>
  <c r="M85" i="6" s="1"/>
  <c r="P85" i="6" s="1"/>
  <c r="T85" i="6" s="1"/>
  <c r="W85" i="6" s="1"/>
  <c r="I111" i="6"/>
  <c r="M111" i="6" s="1"/>
  <c r="P111" i="6" s="1"/>
  <c r="T111" i="6" s="1"/>
  <c r="W111" i="6" s="1"/>
  <c r="I128" i="6"/>
  <c r="M128" i="6" s="1"/>
  <c r="P128" i="6" s="1"/>
  <c r="T128" i="6" s="1"/>
  <c r="I117" i="6"/>
  <c r="M117" i="6" s="1"/>
  <c r="P117" i="6" s="1"/>
  <c r="I35" i="6"/>
  <c r="M35" i="6" s="1"/>
  <c r="P35" i="6" s="1"/>
  <c r="T35" i="6" s="1"/>
  <c r="W35" i="6" s="1"/>
  <c r="M93" i="6"/>
  <c r="P93" i="6" s="1"/>
  <c r="T93" i="6" s="1"/>
  <c r="W93" i="6" s="1"/>
  <c r="P84" i="6"/>
  <c r="T84" i="6" s="1"/>
  <c r="W84" i="6" s="1"/>
  <c r="F22" i="3" s="1"/>
  <c r="P76" i="6"/>
  <c r="T76" i="6" s="1"/>
  <c r="W76" i="6" s="1"/>
  <c r="P87" i="6"/>
  <c r="T87" i="6" s="1"/>
  <c r="W87" i="6" s="1"/>
  <c r="P30" i="6"/>
  <c r="T30" i="6" s="1"/>
  <c r="W30" i="6" s="1"/>
  <c r="C16" i="3" s="1"/>
  <c r="G126" i="6"/>
  <c r="I38" i="6"/>
  <c r="M38" i="6" s="1"/>
  <c r="G75" i="6"/>
  <c r="G71" i="6"/>
  <c r="I41" i="6"/>
  <c r="M41" i="6" s="1"/>
  <c r="P41" i="6" s="1"/>
  <c r="I129" i="6"/>
  <c r="I122" i="6"/>
  <c r="I64" i="6"/>
  <c r="M64" i="6" s="1"/>
  <c r="I105" i="6"/>
  <c r="I22" i="6"/>
  <c r="M22" i="6" s="1"/>
  <c r="I115" i="6"/>
  <c r="I72" i="6"/>
  <c r="M72" i="6" s="1"/>
  <c r="I23" i="6"/>
  <c r="I39" i="6"/>
  <c r="M39" i="6" s="1"/>
  <c r="I18" i="6"/>
  <c r="M18" i="6" s="1"/>
  <c r="I101" i="6"/>
  <c r="I45" i="6"/>
  <c r="M45" i="6" s="1"/>
  <c r="I121" i="6"/>
  <c r="H12" i="6"/>
  <c r="I77" i="6"/>
  <c r="M77" i="6" s="1"/>
  <c r="I13" i="6"/>
  <c r="I82" i="6"/>
  <c r="M82" i="6" s="1"/>
  <c r="I79" i="6"/>
  <c r="M79" i="6" s="1"/>
  <c r="I17" i="6"/>
  <c r="M17" i="6" s="1"/>
  <c r="H43" i="6"/>
  <c r="I20" i="6"/>
  <c r="M20" i="6" s="1"/>
  <c r="I37" i="6"/>
  <c r="M37" i="6" s="1"/>
  <c r="I40" i="6"/>
  <c r="M40" i="6" s="1"/>
  <c r="I114" i="6"/>
  <c r="H81" i="6"/>
  <c r="H80" i="6" s="1"/>
  <c r="I61" i="6"/>
  <c r="M61" i="6" s="1"/>
  <c r="G84" i="6"/>
  <c r="I107" i="6"/>
  <c r="I66" i="6"/>
  <c r="M66" i="6" s="1"/>
  <c r="I54" i="6"/>
  <c r="M54" i="6" s="1"/>
  <c r="I10" i="6"/>
  <c r="H75" i="6"/>
  <c r="I86" i="6"/>
  <c r="M86" i="6" s="1"/>
  <c r="G81" i="6"/>
  <c r="I102" i="6"/>
  <c r="I60" i="6"/>
  <c r="M60" i="6" s="1"/>
  <c r="I68" i="6"/>
  <c r="M68" i="6" s="1"/>
  <c r="I88" i="6"/>
  <c r="M88" i="6" s="1"/>
  <c r="I52" i="6"/>
  <c r="M52" i="6" s="1"/>
  <c r="H67" i="6"/>
  <c r="G43" i="6"/>
  <c r="I78" i="6"/>
  <c r="M78" i="6" s="1"/>
  <c r="H36" i="6"/>
  <c r="I125" i="6"/>
  <c r="G30" i="6"/>
  <c r="H9" i="6"/>
  <c r="G123" i="6"/>
  <c r="I104" i="6"/>
  <c r="H109" i="6"/>
  <c r="I103" i="6"/>
  <c r="H50" i="6"/>
  <c r="I14" i="6"/>
  <c r="M14" i="6" s="1"/>
  <c r="I11" i="6"/>
  <c r="I69" i="6"/>
  <c r="M69" i="6" s="1"/>
  <c r="G62" i="6"/>
  <c r="H126" i="6"/>
  <c r="I59" i="6"/>
  <c r="M59" i="6" s="1"/>
  <c r="I74" i="6"/>
  <c r="M74" i="6" s="1"/>
  <c r="I31" i="6"/>
  <c r="M31" i="6" s="1"/>
  <c r="I127" i="6"/>
  <c r="G92" i="6"/>
  <c r="I112" i="6"/>
  <c r="I110" i="6"/>
  <c r="I118" i="6"/>
  <c r="D28" i="21" s="1"/>
  <c r="N31" i="21" s="1"/>
  <c r="I116" i="6"/>
  <c r="I34" i="6"/>
  <c r="M34" i="6" s="1"/>
  <c r="I106" i="6"/>
  <c r="I42" i="6"/>
  <c r="M42" i="6" s="1"/>
  <c r="G12" i="6"/>
  <c r="I51" i="6"/>
  <c r="M51" i="6" s="1"/>
  <c r="I83" i="6"/>
  <c r="M83" i="6" s="1"/>
  <c r="H71" i="6"/>
  <c r="G67" i="6"/>
  <c r="I120" i="6"/>
  <c r="G119" i="6"/>
  <c r="I89" i="6"/>
  <c r="M89" i="6" s="1"/>
  <c r="G36" i="6"/>
  <c r="I32" i="6"/>
  <c r="M32" i="6" s="1"/>
  <c r="I100" i="6"/>
  <c r="G9" i="6"/>
  <c r="G19" i="6"/>
  <c r="H113" i="6"/>
  <c r="I124" i="6"/>
  <c r="H119" i="6"/>
  <c r="H15" i="6"/>
  <c r="G109" i="6"/>
  <c r="I44" i="6"/>
  <c r="M44" i="6" s="1"/>
  <c r="G50" i="6"/>
  <c r="I49" i="6"/>
  <c r="M49" i="6" s="1"/>
  <c r="G113" i="6"/>
  <c r="I73" i="6"/>
  <c r="M73" i="6" s="1"/>
  <c r="I70" i="6"/>
  <c r="M70" i="6" s="1"/>
  <c r="G33" i="6"/>
  <c r="G87" i="6"/>
  <c r="F216" i="5"/>
  <c r="F60" i="5"/>
  <c r="H21" i="6" s="1"/>
  <c r="I21" i="6" s="1"/>
  <c r="M44" i="19"/>
  <c r="M64" i="19"/>
  <c r="M17" i="19"/>
  <c r="M52" i="19"/>
  <c r="M22" i="19"/>
  <c r="M35" i="19"/>
  <c r="O40" i="19"/>
  <c r="I4" i="15"/>
  <c r="G4" i="15"/>
  <c r="K4" i="15" s="1"/>
  <c r="F202" i="5"/>
  <c r="V64" i="6" s="1"/>
  <c r="F199" i="5"/>
  <c r="V63" i="6" s="1"/>
  <c r="F194" i="5"/>
  <c r="F188" i="5"/>
  <c r="V10" i="6" s="1"/>
  <c r="F185" i="5"/>
  <c r="F181" i="5"/>
  <c r="F174" i="5"/>
  <c r="K29" i="15" l="1"/>
  <c r="K12" i="15"/>
  <c r="T117" i="6"/>
  <c r="W117" i="6" s="1"/>
  <c r="M13" i="6"/>
  <c r="M10" i="6"/>
  <c r="M23" i="6"/>
  <c r="M21" i="6"/>
  <c r="M11" i="6"/>
  <c r="U55" i="6"/>
  <c r="U53" i="6" s="1"/>
  <c r="U47" i="6" s="1"/>
  <c r="U46" i="6" s="1"/>
  <c r="V91" i="6"/>
  <c r="V90" i="6" s="1"/>
  <c r="V108" i="6"/>
  <c r="V62" i="6"/>
  <c r="U8" i="6"/>
  <c r="U7" i="6" s="1"/>
  <c r="N108" i="6"/>
  <c r="O108" i="6"/>
  <c r="M127" i="6"/>
  <c r="P127" i="6" s="1"/>
  <c r="T127" i="6" s="1"/>
  <c r="M120" i="6"/>
  <c r="P120" i="6" s="1"/>
  <c r="M114" i="6"/>
  <c r="P114" i="6" s="1"/>
  <c r="M106" i="6"/>
  <c r="P106" i="6" s="1"/>
  <c r="T106" i="6" s="1"/>
  <c r="W106" i="6" s="1"/>
  <c r="M101" i="6"/>
  <c r="P101" i="6" s="1"/>
  <c r="T101" i="6" s="1"/>
  <c r="W101" i="6" s="1"/>
  <c r="C9" i="2" s="1"/>
  <c r="M115" i="6"/>
  <c r="P115" i="6" s="1"/>
  <c r="M121" i="6"/>
  <c r="P121" i="6" s="1"/>
  <c r="M129" i="6"/>
  <c r="P129" i="6" s="1"/>
  <c r="T129" i="6" s="1"/>
  <c r="W129" i="6" s="1"/>
  <c r="M125" i="6"/>
  <c r="P125" i="6" s="1"/>
  <c r="M122" i="6"/>
  <c r="P122" i="6" s="1"/>
  <c r="M104" i="6"/>
  <c r="P104" i="6" s="1"/>
  <c r="T104" i="6" s="1"/>
  <c r="W104" i="6" s="1"/>
  <c r="C10" i="2" s="1"/>
  <c r="M107" i="6"/>
  <c r="P107" i="6" s="1"/>
  <c r="T107" i="6" s="1"/>
  <c r="W107" i="6" s="1"/>
  <c r="M102" i="6"/>
  <c r="P102" i="6" s="1"/>
  <c r="T102" i="6" s="1"/>
  <c r="W102" i="6" s="1"/>
  <c r="M116" i="6"/>
  <c r="P116" i="6" s="1"/>
  <c r="M110" i="6"/>
  <c r="P110" i="6" s="1"/>
  <c r="T110" i="6" s="1"/>
  <c r="W110" i="6" s="1"/>
  <c r="M105" i="6"/>
  <c r="P105" i="6" s="1"/>
  <c r="T105" i="6" s="1"/>
  <c r="W105" i="6" s="1"/>
  <c r="M124" i="6"/>
  <c r="P124" i="6" s="1"/>
  <c r="T124" i="6" s="1"/>
  <c r="W124" i="6" s="1"/>
  <c r="M103" i="6"/>
  <c r="P103" i="6" s="1"/>
  <c r="T103" i="6" s="1"/>
  <c r="W103" i="6" s="1"/>
  <c r="M118" i="6"/>
  <c r="P118" i="6" s="1"/>
  <c r="F28" i="21" s="1"/>
  <c r="O31" i="21" s="1"/>
  <c r="M100" i="6"/>
  <c r="M112" i="6"/>
  <c r="P112" i="6" s="1"/>
  <c r="T112" i="6" s="1"/>
  <c r="W112" i="6" s="1"/>
  <c r="P82" i="6"/>
  <c r="T82" i="6" s="1"/>
  <c r="W82" i="6" s="1"/>
  <c r="P70" i="6"/>
  <c r="T70" i="6" s="1"/>
  <c r="W70" i="6" s="1"/>
  <c r="P77" i="6"/>
  <c r="T77" i="6" s="1"/>
  <c r="W77" i="6" s="1"/>
  <c r="P66" i="6"/>
  <c r="T66" i="6" s="1"/>
  <c r="W66" i="6" s="1"/>
  <c r="P89" i="6"/>
  <c r="T89" i="6" s="1"/>
  <c r="W89" i="6" s="1"/>
  <c r="P61" i="6"/>
  <c r="T61" i="6" s="1"/>
  <c r="W61" i="6" s="1"/>
  <c r="P74" i="6"/>
  <c r="T74" i="6" s="1"/>
  <c r="W74" i="6" s="1"/>
  <c r="P52" i="6"/>
  <c r="T52" i="6" s="1"/>
  <c r="W52" i="6" s="1"/>
  <c r="F17" i="3" s="1"/>
  <c r="P69" i="6"/>
  <c r="T69" i="6" s="1"/>
  <c r="W69" i="6" s="1"/>
  <c r="P88" i="6"/>
  <c r="T88" i="6" s="1"/>
  <c r="W88" i="6" s="1"/>
  <c r="P86" i="6"/>
  <c r="T86" i="6" s="1"/>
  <c r="W86" i="6" s="1"/>
  <c r="P59" i="6"/>
  <c r="T59" i="6" s="1"/>
  <c r="P83" i="6"/>
  <c r="T83" i="6" s="1"/>
  <c r="W83" i="6" s="1"/>
  <c r="P72" i="6"/>
  <c r="T72" i="6" s="1"/>
  <c r="W72" i="6" s="1"/>
  <c r="P51" i="6"/>
  <c r="T51" i="6" s="1"/>
  <c r="W51" i="6" s="1"/>
  <c r="P68" i="6"/>
  <c r="P60" i="6"/>
  <c r="T60" i="6" s="1"/>
  <c r="P54" i="6"/>
  <c r="T54" i="6" s="1"/>
  <c r="W54" i="6" s="1"/>
  <c r="P73" i="6"/>
  <c r="T73" i="6" s="1"/>
  <c r="W73" i="6" s="1"/>
  <c r="P79" i="6"/>
  <c r="T79" i="6" s="1"/>
  <c r="W79" i="6" s="1"/>
  <c r="P44" i="6"/>
  <c r="T44" i="6" s="1"/>
  <c r="W44" i="6" s="1"/>
  <c r="P22" i="6"/>
  <c r="T22" i="6" s="1"/>
  <c r="W22" i="6" s="1"/>
  <c r="P17" i="6"/>
  <c r="T17" i="6" s="1"/>
  <c r="W17" i="6" s="1"/>
  <c r="P14" i="6"/>
  <c r="P38" i="6"/>
  <c r="T38" i="6" s="1"/>
  <c r="W38" i="6" s="1"/>
  <c r="P40" i="6"/>
  <c r="T40" i="6" s="1"/>
  <c r="W40" i="6" s="1"/>
  <c r="P34" i="6"/>
  <c r="T34" i="6" s="1"/>
  <c r="W34" i="6" s="1"/>
  <c r="P45" i="6"/>
  <c r="T45" i="6" s="1"/>
  <c r="W45" i="6" s="1"/>
  <c r="P37" i="6"/>
  <c r="P20" i="6"/>
  <c r="T41" i="6"/>
  <c r="W41" i="6" s="1"/>
  <c r="P31" i="6"/>
  <c r="T31" i="6" s="1"/>
  <c r="W31" i="6" s="1"/>
  <c r="P18" i="6"/>
  <c r="T18" i="6" s="1"/>
  <c r="W18" i="6" s="1"/>
  <c r="P32" i="6"/>
  <c r="T32" i="6" s="1"/>
  <c r="W32" i="6" s="1"/>
  <c r="P23" i="6"/>
  <c r="T23" i="6" s="1"/>
  <c r="W23" i="6" s="1"/>
  <c r="I75" i="6"/>
  <c r="P78" i="6"/>
  <c r="T78" i="6" s="1"/>
  <c r="W78" i="6" s="1"/>
  <c r="F18" i="3" s="1"/>
  <c r="I48" i="6"/>
  <c r="P49" i="6"/>
  <c r="I126" i="6"/>
  <c r="I19" i="6"/>
  <c r="J23" i="6" s="1"/>
  <c r="I43" i="6"/>
  <c r="M43" i="6" s="1"/>
  <c r="H19" i="6"/>
  <c r="H8" i="6" s="1"/>
  <c r="I119" i="6"/>
  <c r="M119" i="6" s="1"/>
  <c r="I12" i="6"/>
  <c r="J13" i="6" s="1"/>
  <c r="I36" i="6"/>
  <c r="H29" i="6"/>
  <c r="I81" i="6"/>
  <c r="G80" i="6"/>
  <c r="I9" i="6"/>
  <c r="J10" i="6" s="1"/>
  <c r="I123" i="6"/>
  <c r="M123" i="6" s="1"/>
  <c r="I71" i="6"/>
  <c r="M71" i="6" s="1"/>
  <c r="I113" i="6"/>
  <c r="I109" i="6"/>
  <c r="I50" i="6"/>
  <c r="M50" i="6" s="1"/>
  <c r="H108" i="6"/>
  <c r="G29" i="6"/>
  <c r="I67" i="6"/>
  <c r="G108" i="6"/>
  <c r="F59" i="5"/>
  <c r="G55" i="6" s="1"/>
  <c r="O22" i="19"/>
  <c r="O26" i="19" s="1"/>
  <c r="M26" i="19"/>
  <c r="M55" i="19"/>
  <c r="O52" i="19"/>
  <c r="O55" i="19" s="1"/>
  <c r="O66" i="19" s="1"/>
  <c r="F168" i="5"/>
  <c r="F152" i="5"/>
  <c r="F145" i="5"/>
  <c r="N12" i="18"/>
  <c r="H10" i="18"/>
  <c r="I10" i="18" s="1"/>
  <c r="N7" i="18"/>
  <c r="N8" i="18"/>
  <c r="H6" i="18"/>
  <c r="I6" i="18" s="1"/>
  <c r="L6" i="18" s="1"/>
  <c r="J11" i="6" l="1"/>
  <c r="T115" i="6"/>
  <c r="W115" i="6" s="1"/>
  <c r="T118" i="6"/>
  <c r="W118" i="6" s="1"/>
  <c r="T114" i="6"/>
  <c r="W114" i="6" s="1"/>
  <c r="T116" i="6"/>
  <c r="W116" i="6" s="1"/>
  <c r="J21" i="6"/>
  <c r="T120" i="6"/>
  <c r="W120" i="6" s="1"/>
  <c r="T125" i="6"/>
  <c r="W125" i="6" s="1"/>
  <c r="W123" i="6" s="1"/>
  <c r="C17" i="2" s="1"/>
  <c r="T121" i="6"/>
  <c r="W121" i="6" s="1"/>
  <c r="T122" i="6"/>
  <c r="W122" i="6" s="1"/>
  <c r="J125" i="6"/>
  <c r="M48" i="6"/>
  <c r="M19" i="6"/>
  <c r="M75" i="6"/>
  <c r="P75" i="6" s="1"/>
  <c r="J120" i="6"/>
  <c r="J121" i="6"/>
  <c r="M9" i="6"/>
  <c r="M81" i="6"/>
  <c r="M36" i="6"/>
  <c r="M12" i="6"/>
  <c r="J122" i="6"/>
  <c r="M67" i="6"/>
  <c r="W81" i="6"/>
  <c r="V13" i="6"/>
  <c r="V12" i="6" s="1"/>
  <c r="V11" i="6"/>
  <c r="V9" i="6" s="1"/>
  <c r="T37" i="6"/>
  <c r="W37" i="6" s="1"/>
  <c r="P100" i="6"/>
  <c r="T100" i="6" s="1"/>
  <c r="W100" i="6" s="1"/>
  <c r="T20" i="6"/>
  <c r="W20" i="6" s="1"/>
  <c r="T14" i="6"/>
  <c r="W14" i="6" s="1"/>
  <c r="P48" i="6"/>
  <c r="T49" i="6"/>
  <c r="W49" i="6" s="1"/>
  <c r="W48" i="6" s="1"/>
  <c r="P67" i="6"/>
  <c r="T68" i="6"/>
  <c r="W68" i="6" s="1"/>
  <c r="W67" i="6" s="1"/>
  <c r="P119" i="6"/>
  <c r="P123" i="6"/>
  <c r="T123" i="6" s="1"/>
  <c r="M113" i="6"/>
  <c r="P113" i="6" s="1"/>
  <c r="M126" i="6"/>
  <c r="P126" i="6" s="1"/>
  <c r="T126" i="6" s="1"/>
  <c r="M109" i="6"/>
  <c r="P109" i="6" s="1"/>
  <c r="P81" i="6"/>
  <c r="P50" i="6"/>
  <c r="T50" i="6" s="1"/>
  <c r="W50" i="6" s="1"/>
  <c r="F10" i="3" s="1"/>
  <c r="P71" i="6"/>
  <c r="T71" i="6" s="1"/>
  <c r="W71" i="6" s="1"/>
  <c r="F14" i="3" s="1"/>
  <c r="P43" i="6"/>
  <c r="T43" i="6" s="1"/>
  <c r="W43" i="6" s="1"/>
  <c r="C19" i="3" s="1"/>
  <c r="I80" i="6"/>
  <c r="M80" i="6" s="1"/>
  <c r="I29" i="6"/>
  <c r="J36" i="6" s="1"/>
  <c r="H7" i="6"/>
  <c r="I108" i="6"/>
  <c r="G53" i="6"/>
  <c r="G47" i="6" s="1"/>
  <c r="G46" i="6" s="1"/>
  <c r="F213" i="5"/>
  <c r="U99" i="6" s="1"/>
  <c r="F211" i="5"/>
  <c r="U98" i="6" s="1"/>
  <c r="F207" i="5"/>
  <c r="U96" i="6" s="1"/>
  <c r="P11" i="18"/>
  <c r="P7" i="18"/>
  <c r="P8" i="18"/>
  <c r="P6" i="18"/>
  <c r="R6" i="18" s="1"/>
  <c r="P10" i="18"/>
  <c r="R10" i="18" s="1"/>
  <c r="P12" i="18"/>
  <c r="L10" i="18"/>
  <c r="I14" i="11"/>
  <c r="I8" i="11"/>
  <c r="F120" i="5"/>
  <c r="O42" i="6" s="1"/>
  <c r="P42" i="6" s="1"/>
  <c r="F117" i="5"/>
  <c r="O64" i="6" s="1"/>
  <c r="P64" i="6" s="1"/>
  <c r="T64" i="6" s="1"/>
  <c r="W64" i="6" s="1"/>
  <c r="F114" i="5"/>
  <c r="O63" i="6" s="1"/>
  <c r="F109" i="5"/>
  <c r="O13" i="6" s="1"/>
  <c r="F106" i="5"/>
  <c r="F103" i="5"/>
  <c r="F100" i="5"/>
  <c r="F96" i="5"/>
  <c r="F93" i="5"/>
  <c r="F90" i="5"/>
  <c r="F87" i="5"/>
  <c r="F84" i="5"/>
  <c r="F81" i="5"/>
  <c r="O94" i="6" s="1"/>
  <c r="F70" i="5"/>
  <c r="N21" i="6" s="1"/>
  <c r="F67" i="5"/>
  <c r="F37" i="5"/>
  <c r="H95" i="6" s="1"/>
  <c r="I95" i="6" s="1"/>
  <c r="F33" i="5"/>
  <c r="F48" i="5"/>
  <c r="H65" i="6" s="1"/>
  <c r="I65" i="6" s="1"/>
  <c r="M65" i="6" s="1"/>
  <c r="F42" i="5"/>
  <c r="H63" i="6" s="1"/>
  <c r="H28" i="21" l="1"/>
  <c r="P31" i="21" s="1"/>
  <c r="J81" i="6"/>
  <c r="T113" i="6"/>
  <c r="Q117" i="6"/>
  <c r="Q116" i="6"/>
  <c r="T119" i="6"/>
  <c r="R119" i="6"/>
  <c r="Q114" i="6"/>
  <c r="Q118" i="6"/>
  <c r="Q115" i="6"/>
  <c r="W119" i="6"/>
  <c r="C16" i="2" s="1"/>
  <c r="Q121" i="6"/>
  <c r="Q122" i="6"/>
  <c r="Q125" i="6"/>
  <c r="X125" i="6"/>
  <c r="Q120" i="6"/>
  <c r="F21" i="3"/>
  <c r="T48" i="6"/>
  <c r="T75" i="6"/>
  <c r="W75" i="6" s="1"/>
  <c r="F16" i="3" s="1"/>
  <c r="T81" i="6"/>
  <c r="F9" i="3"/>
  <c r="F13" i="3"/>
  <c r="W113" i="6"/>
  <c r="C15" i="2" s="1"/>
  <c r="M29" i="6"/>
  <c r="T67" i="6"/>
  <c r="W80" i="6"/>
  <c r="F20" i="3" s="1"/>
  <c r="H94" i="6"/>
  <c r="H92" i="6" s="1"/>
  <c r="H91" i="6" s="1"/>
  <c r="H90" i="6" s="1"/>
  <c r="O10" i="6"/>
  <c r="P10" i="6" s="1"/>
  <c r="O11" i="6"/>
  <c r="P11" i="6" s="1"/>
  <c r="T11" i="6" s="1"/>
  <c r="W11" i="6" s="1"/>
  <c r="O12" i="6"/>
  <c r="P13" i="6"/>
  <c r="F212" i="5"/>
  <c r="V57" i="6" s="1"/>
  <c r="N19" i="6"/>
  <c r="O62" i="6"/>
  <c r="O36" i="6"/>
  <c r="O29" i="6" s="1"/>
  <c r="T42" i="6"/>
  <c r="F214" i="5"/>
  <c r="V58" i="6" s="1"/>
  <c r="F122" i="5"/>
  <c r="O95" i="6"/>
  <c r="O92" i="6" s="1"/>
  <c r="O91" i="6" s="1"/>
  <c r="O90" i="6" s="1"/>
  <c r="F208" i="5"/>
  <c r="V56" i="6" s="1"/>
  <c r="U91" i="6"/>
  <c r="M108" i="6"/>
  <c r="P108" i="6"/>
  <c r="T109" i="6"/>
  <c r="P80" i="6"/>
  <c r="T80" i="6" s="1"/>
  <c r="M95" i="6"/>
  <c r="P65" i="6"/>
  <c r="T65" i="6" s="1"/>
  <c r="W65" i="6" s="1"/>
  <c r="H62" i="6"/>
  <c r="I63" i="6"/>
  <c r="M63" i="6" s="1"/>
  <c r="F128" i="5"/>
  <c r="F126" i="5"/>
  <c r="F124" i="5"/>
  <c r="F131" i="5"/>
  <c r="F50" i="5"/>
  <c r="G96" i="6" s="1"/>
  <c r="F52" i="5"/>
  <c r="F54" i="5"/>
  <c r="F56" i="5"/>
  <c r="F28" i="5"/>
  <c r="G16" i="6" s="1"/>
  <c r="F69" i="5"/>
  <c r="N16" i="6" s="1"/>
  <c r="N15" i="6" s="1"/>
  <c r="R11" i="18"/>
  <c r="R12" i="18" s="1"/>
  <c r="R7" i="18"/>
  <c r="R8" i="18" s="1"/>
  <c r="S10" i="18"/>
  <c r="S11" i="18" s="1"/>
  <c r="S12" i="18" s="1"/>
  <c r="S6" i="18"/>
  <c r="S7" i="18" s="1"/>
  <c r="S8" i="18" s="1"/>
  <c r="I72" i="15"/>
  <c r="I77" i="15" s="1"/>
  <c r="I79" i="15" s="1"/>
  <c r="I80" i="15" s="1"/>
  <c r="G72" i="15"/>
  <c r="G77" i="15" s="1"/>
  <c r="G79" i="15" s="1"/>
  <c r="G80" i="15" s="1"/>
  <c r="E72" i="15"/>
  <c r="E77" i="15" s="1"/>
  <c r="E79" i="15" s="1"/>
  <c r="E80" i="15" s="1"/>
  <c r="I69" i="15"/>
  <c r="G69" i="15"/>
  <c r="E69" i="15"/>
  <c r="I67" i="15"/>
  <c r="G67" i="15"/>
  <c r="E67" i="15"/>
  <c r="E12" i="15"/>
  <c r="I16" i="15"/>
  <c r="G16" i="15"/>
  <c r="E16" i="15"/>
  <c r="G5" i="15"/>
  <c r="G20" i="15" s="1"/>
  <c r="E5" i="15"/>
  <c r="I12" i="15"/>
  <c r="G29" i="15"/>
  <c r="I53" i="13"/>
  <c r="I55" i="13" s="1"/>
  <c r="G53" i="13"/>
  <c r="G55" i="13" s="1"/>
  <c r="E53" i="13"/>
  <c r="E55" i="13" s="1"/>
  <c r="I46" i="13"/>
  <c r="G46" i="13"/>
  <c r="E46" i="13"/>
  <c r="I28" i="13"/>
  <c r="G28" i="13"/>
  <c r="E28" i="13"/>
  <c r="I5" i="13"/>
  <c r="G5" i="13"/>
  <c r="E5" i="13"/>
  <c r="I4" i="13"/>
  <c r="G4" i="13"/>
  <c r="E4" i="13"/>
  <c r="I35" i="13"/>
  <c r="I37" i="13" s="1"/>
  <c r="G35" i="13"/>
  <c r="G37" i="13" s="1"/>
  <c r="E35" i="13"/>
  <c r="E37" i="13" s="1"/>
  <c r="I8" i="12"/>
  <c r="I10" i="12" s="1"/>
  <c r="G8" i="12"/>
  <c r="G10" i="12" s="1"/>
  <c r="E8" i="12"/>
  <c r="E11" i="12" s="1"/>
  <c r="E21" i="11"/>
  <c r="E22" i="11" s="1"/>
  <c r="E23" i="11" s="1"/>
  <c r="G21" i="11"/>
  <c r="G22" i="11" s="1"/>
  <c r="G23" i="11" s="1"/>
  <c r="G25" i="11" s="1"/>
  <c r="I15" i="11"/>
  <c r="T6" i="11" s="1"/>
  <c r="G14" i="11"/>
  <c r="G15" i="11" s="1"/>
  <c r="R6" i="11" s="1"/>
  <c r="E14" i="11"/>
  <c r="E15" i="11" s="1"/>
  <c r="P6" i="11" s="1"/>
  <c r="I9" i="11"/>
  <c r="T5" i="11" s="1"/>
  <c r="G8" i="11"/>
  <c r="G9" i="11" s="1"/>
  <c r="R5" i="11" s="1"/>
  <c r="E9" i="11"/>
  <c r="P5" i="11" s="1"/>
  <c r="E20" i="15" l="1"/>
  <c r="K5" i="15"/>
  <c r="Q81" i="6"/>
  <c r="Y119" i="6"/>
  <c r="X121" i="6"/>
  <c r="X120" i="6"/>
  <c r="X122" i="6"/>
  <c r="X81" i="6"/>
  <c r="I94" i="6"/>
  <c r="M94" i="6" s="1"/>
  <c r="P94" i="6" s="1"/>
  <c r="N8" i="6"/>
  <c r="F230" i="5"/>
  <c r="V60" i="6" s="1"/>
  <c r="W60" i="6" s="1"/>
  <c r="U127" i="6"/>
  <c r="F232" i="5"/>
  <c r="V59" i="6" s="1"/>
  <c r="W59" i="6" s="1"/>
  <c r="U128" i="6"/>
  <c r="W128" i="6" s="1"/>
  <c r="W109" i="6"/>
  <c r="C14" i="2" s="1"/>
  <c r="O9" i="6"/>
  <c r="F127" i="5"/>
  <c r="O57" i="6" s="1"/>
  <c r="N98" i="6"/>
  <c r="F129" i="5"/>
  <c r="O58" i="6" s="1"/>
  <c r="N99" i="6"/>
  <c r="T10" i="6"/>
  <c r="W10" i="6" s="1"/>
  <c r="W9" i="6" s="1"/>
  <c r="P9" i="6"/>
  <c r="F132" i="5"/>
  <c r="O21" i="6" s="1"/>
  <c r="N55" i="6"/>
  <c r="N53" i="6" s="1"/>
  <c r="N47" i="6" s="1"/>
  <c r="N46" i="6" s="1"/>
  <c r="P95" i="6"/>
  <c r="F125" i="5"/>
  <c r="O55" i="6" s="1"/>
  <c r="N97" i="6"/>
  <c r="F123" i="5"/>
  <c r="O56" i="6" s="1"/>
  <c r="N96" i="6"/>
  <c r="T13" i="6"/>
  <c r="W13" i="6" s="1"/>
  <c r="W12" i="6" s="1"/>
  <c r="P12" i="6"/>
  <c r="T108" i="6"/>
  <c r="I62" i="6"/>
  <c r="P63" i="6"/>
  <c r="F53" i="5"/>
  <c r="H55" i="6" s="1"/>
  <c r="G97" i="6"/>
  <c r="I97" i="6" s="1"/>
  <c r="I96" i="6"/>
  <c r="G15" i="6"/>
  <c r="G8" i="6" s="1"/>
  <c r="G7" i="6" s="1"/>
  <c r="I16" i="6"/>
  <c r="F57" i="5"/>
  <c r="H58" i="6" s="1"/>
  <c r="I58" i="6" s="1"/>
  <c r="M58" i="6" s="1"/>
  <c r="G99" i="6"/>
  <c r="I99" i="6" s="1"/>
  <c r="F55" i="5"/>
  <c r="H57" i="6" s="1"/>
  <c r="I57" i="6" s="1"/>
  <c r="M57" i="6" s="1"/>
  <c r="G98" i="6"/>
  <c r="I98" i="6" s="1"/>
  <c r="F51" i="5"/>
  <c r="H56" i="6" s="1"/>
  <c r="I56" i="6" s="1"/>
  <c r="M56" i="6" s="1"/>
  <c r="R9" i="11"/>
  <c r="P10" i="11"/>
  <c r="T9" i="11"/>
  <c r="E14" i="15"/>
  <c r="E15" i="15" s="1"/>
  <c r="E17" i="15" s="1"/>
  <c r="E19" i="15" s="1"/>
  <c r="E31" i="15"/>
  <c r="I14" i="15"/>
  <c r="I15" i="15" s="1"/>
  <c r="I17" i="15" s="1"/>
  <c r="I19" i="15" s="1"/>
  <c r="I31" i="15"/>
  <c r="G14" i="15"/>
  <c r="G31" i="15"/>
  <c r="E82" i="15"/>
  <c r="E83" i="15"/>
  <c r="E85" i="15" s="1"/>
  <c r="E88" i="15" s="1"/>
  <c r="G83" i="15"/>
  <c r="G85" i="15" s="1"/>
  <c r="G88" i="15" s="1"/>
  <c r="G82" i="15"/>
  <c r="I83" i="15"/>
  <c r="I85" i="15" s="1"/>
  <c r="I88" i="15" s="1"/>
  <c r="I82" i="15"/>
  <c r="E29" i="15"/>
  <c r="I29" i="15"/>
  <c r="G12" i="15"/>
  <c r="I11" i="13"/>
  <c r="I18" i="13" s="1"/>
  <c r="I20" i="13" s="1"/>
  <c r="I23" i="13" s="1"/>
  <c r="I26" i="13"/>
  <c r="I30" i="13" s="1"/>
  <c r="I39" i="13" s="1"/>
  <c r="G11" i="13"/>
  <c r="G18" i="13" s="1"/>
  <c r="G20" i="13" s="1"/>
  <c r="G23" i="13" s="1"/>
  <c r="E26" i="13"/>
  <c r="E30" i="13" s="1"/>
  <c r="E39" i="13" s="1"/>
  <c r="G26" i="13"/>
  <c r="G30" i="13" s="1"/>
  <c r="G39" i="13" s="1"/>
  <c r="E11" i="13"/>
  <c r="E18" i="13" s="1"/>
  <c r="E20" i="13" s="1"/>
  <c r="E22" i="13" s="1"/>
  <c r="G11" i="12"/>
  <c r="E10" i="12"/>
  <c r="I11" i="12"/>
  <c r="T10" i="11"/>
  <c r="R10" i="11"/>
  <c r="P7" i="11"/>
  <c r="T7" i="11"/>
  <c r="R7" i="11"/>
  <c r="I92" i="6" l="1"/>
  <c r="J95" i="6" s="1"/>
  <c r="K31" i="15"/>
  <c r="K32" i="15" s="1"/>
  <c r="K14" i="15"/>
  <c r="K15" i="15" s="1"/>
  <c r="K17" i="15" s="1"/>
  <c r="M16" i="6"/>
  <c r="T95" i="6"/>
  <c r="W95" i="6" s="1"/>
  <c r="T9" i="6"/>
  <c r="T12" i="6"/>
  <c r="C9" i="3"/>
  <c r="C10" i="3"/>
  <c r="M62" i="6"/>
  <c r="J94" i="6"/>
  <c r="V53" i="6"/>
  <c r="V47" i="6" s="1"/>
  <c r="V46" i="6" s="1"/>
  <c r="U126" i="6"/>
  <c r="W127" i="6"/>
  <c r="N91" i="6"/>
  <c r="N90" i="6" s="1"/>
  <c r="O53" i="6"/>
  <c r="O47" i="6" s="1"/>
  <c r="O46" i="6" s="1"/>
  <c r="O19" i="6"/>
  <c r="O8" i="6" s="1"/>
  <c r="O7" i="6" s="1"/>
  <c r="P21" i="6"/>
  <c r="P92" i="6"/>
  <c r="T92" i="6" s="1"/>
  <c r="T94" i="6"/>
  <c r="W94" i="6" s="1"/>
  <c r="P62" i="6"/>
  <c r="T63" i="6"/>
  <c r="W63" i="6" s="1"/>
  <c r="W62" i="6" s="1"/>
  <c r="M99" i="6"/>
  <c r="M96" i="6"/>
  <c r="M98" i="6"/>
  <c r="M97" i="6"/>
  <c r="P56" i="6"/>
  <c r="T56" i="6" s="1"/>
  <c r="W56" i="6" s="1"/>
  <c r="P58" i="6"/>
  <c r="T58" i="6" s="1"/>
  <c r="W58" i="6" s="1"/>
  <c r="P57" i="6"/>
  <c r="T57" i="6" s="1"/>
  <c r="W57" i="6" s="1"/>
  <c r="I15" i="6"/>
  <c r="J16" i="6" s="1"/>
  <c r="P16" i="6"/>
  <c r="G91" i="6"/>
  <c r="H53" i="6"/>
  <c r="H47" i="6" s="1"/>
  <c r="H46" i="6" s="1"/>
  <c r="I55" i="6"/>
  <c r="M55" i="6" s="1"/>
  <c r="P13" i="11"/>
  <c r="R13" i="11" s="1"/>
  <c r="T13" i="11" s="1"/>
  <c r="P15" i="11"/>
  <c r="P9" i="11"/>
  <c r="G15" i="15"/>
  <c r="I13" i="13"/>
  <c r="I16" i="13" s="1"/>
  <c r="I87" i="15"/>
  <c r="G87" i="15"/>
  <c r="E87" i="15"/>
  <c r="E22" i="15"/>
  <c r="E32" i="15" s="1"/>
  <c r="E36" i="15" s="1"/>
  <c r="I22" i="15"/>
  <c r="I32" i="15" s="1"/>
  <c r="I36" i="15" s="1"/>
  <c r="G41" i="13"/>
  <c r="G42" i="13"/>
  <c r="E42" i="13"/>
  <c r="E41" i="13"/>
  <c r="I42" i="13"/>
  <c r="I41" i="13"/>
  <c r="I22" i="13"/>
  <c r="I44" i="13" s="1"/>
  <c r="I48" i="13" s="1"/>
  <c r="I57" i="13" s="1"/>
  <c r="G22" i="13"/>
  <c r="G44" i="13" s="1"/>
  <c r="G48" i="13" s="1"/>
  <c r="G57" i="13" s="1"/>
  <c r="G13" i="13"/>
  <c r="G16" i="13" s="1"/>
  <c r="E23" i="13"/>
  <c r="E44" i="13" s="1"/>
  <c r="E48" i="13" s="1"/>
  <c r="E57" i="13" s="1"/>
  <c r="E13" i="13"/>
  <c r="E16" i="13" s="1"/>
  <c r="M92" i="6" l="1"/>
  <c r="K38" i="15"/>
  <c r="K39" i="15"/>
  <c r="K19" i="15"/>
  <c r="K20" i="15"/>
  <c r="K22" i="15" s="1"/>
  <c r="Q95" i="6"/>
  <c r="T62" i="6"/>
  <c r="W92" i="6"/>
  <c r="C8" i="2" s="1"/>
  <c r="Q94" i="6"/>
  <c r="F12" i="3"/>
  <c r="M15" i="6"/>
  <c r="U108" i="6"/>
  <c r="W126" i="6"/>
  <c r="C18" i="2" s="1"/>
  <c r="G22" i="15"/>
  <c r="G32" i="15" s="1"/>
  <c r="G36" i="15" s="1"/>
  <c r="G39" i="15" s="1"/>
  <c r="G17" i="15"/>
  <c r="G19" i="15" s="1"/>
  <c r="G23" i="15" s="1"/>
  <c r="T21" i="6"/>
  <c r="P19" i="6"/>
  <c r="P97" i="6"/>
  <c r="T97" i="6" s="1"/>
  <c r="W97" i="6" s="1"/>
  <c r="P98" i="6"/>
  <c r="T98" i="6" s="1"/>
  <c r="W98" i="6" s="1"/>
  <c r="P96" i="6"/>
  <c r="T96" i="6" s="1"/>
  <c r="W96" i="6" s="1"/>
  <c r="P99" i="6"/>
  <c r="T99" i="6" s="1"/>
  <c r="W99" i="6" s="1"/>
  <c r="P15" i="6"/>
  <c r="T16" i="6"/>
  <c r="W16" i="6" s="1"/>
  <c r="W15" i="6" s="1"/>
  <c r="I8" i="6"/>
  <c r="I53" i="6"/>
  <c r="P55" i="6"/>
  <c r="I91" i="6"/>
  <c r="G90" i="6"/>
  <c r="I90" i="6" s="1"/>
  <c r="D26" i="21" s="1"/>
  <c r="I15" i="13"/>
  <c r="I39" i="15"/>
  <c r="I38" i="15"/>
  <c r="E38" i="15"/>
  <c r="E39" i="15"/>
  <c r="I23" i="15"/>
  <c r="I25" i="15" s="1"/>
  <c r="E23" i="15"/>
  <c r="E60" i="13"/>
  <c r="E59" i="13"/>
  <c r="G59" i="13"/>
  <c r="G60" i="13"/>
  <c r="I60" i="13"/>
  <c r="I59" i="13"/>
  <c r="G15" i="13"/>
  <c r="E15" i="13"/>
  <c r="K23" i="15" l="1"/>
  <c r="G38" i="15"/>
  <c r="N30" i="21"/>
  <c r="W108" i="6"/>
  <c r="C13" i="2" s="1"/>
  <c r="X95" i="6"/>
  <c r="X94" i="6"/>
  <c r="C11" i="3"/>
  <c r="T19" i="6"/>
  <c r="M8" i="6"/>
  <c r="J12" i="6"/>
  <c r="J19" i="6"/>
  <c r="J9" i="6"/>
  <c r="M53" i="6"/>
  <c r="J15" i="6"/>
  <c r="U90" i="6"/>
  <c r="M91" i="6"/>
  <c r="P91" i="6" s="1"/>
  <c r="M90" i="6"/>
  <c r="P90" i="6" s="1"/>
  <c r="I7" i="6"/>
  <c r="J29" i="6" s="1"/>
  <c r="P53" i="6"/>
  <c r="T55" i="6"/>
  <c r="W55" i="6" s="1"/>
  <c r="W53" i="6" s="1"/>
  <c r="P8" i="6"/>
  <c r="Q19" i="6" s="1"/>
  <c r="T15" i="6"/>
  <c r="I47" i="6"/>
  <c r="J53" i="6" s="1"/>
  <c r="I26" i="15"/>
  <c r="G26" i="15"/>
  <c r="G25" i="15"/>
  <c r="E26" i="15"/>
  <c r="E25" i="15"/>
  <c r="K26" i="15" l="1"/>
  <c r="K25" i="15"/>
  <c r="T91" i="6"/>
  <c r="W91" i="6" s="1"/>
  <c r="C7" i="2" s="1"/>
  <c r="R91" i="6"/>
  <c r="T53" i="6"/>
  <c r="T90" i="6"/>
  <c r="W90" i="6" s="1"/>
  <c r="C6" i="2" s="1"/>
  <c r="F26" i="21"/>
  <c r="F11" i="3"/>
  <c r="Q9" i="6"/>
  <c r="Q12" i="6"/>
  <c r="Q15" i="6"/>
  <c r="J8" i="6"/>
  <c r="M47" i="6"/>
  <c r="J48" i="6"/>
  <c r="J67" i="6"/>
  <c r="J62" i="6"/>
  <c r="M7" i="6"/>
  <c r="D5" i="21"/>
  <c r="M12" i="21" s="1"/>
  <c r="W47" i="6"/>
  <c r="T8" i="6"/>
  <c r="P47" i="6"/>
  <c r="I46" i="6"/>
  <c r="J75" i="6" s="1"/>
  <c r="G26" i="3"/>
  <c r="F76" i="5"/>
  <c r="F217" i="5"/>
  <c r="V21" i="6" s="1"/>
  <c r="C21" i="2" l="1"/>
  <c r="Y91" i="6"/>
  <c r="Q67" i="6"/>
  <c r="Q48" i="6"/>
  <c r="Q62" i="6"/>
  <c r="H26" i="21"/>
  <c r="O30" i="21"/>
  <c r="Q53" i="6"/>
  <c r="F8" i="3"/>
  <c r="X48" i="6"/>
  <c r="X67" i="6"/>
  <c r="X62" i="6"/>
  <c r="X53" i="6"/>
  <c r="J47" i="6"/>
  <c r="M46" i="6"/>
  <c r="D7" i="21"/>
  <c r="M13" i="21" s="1"/>
  <c r="W46" i="6"/>
  <c r="X47" i="6" s="1"/>
  <c r="W21" i="6"/>
  <c r="W19" i="6" s="1"/>
  <c r="V19" i="6"/>
  <c r="V8" i="6" s="1"/>
  <c r="F205" i="5"/>
  <c r="N39" i="6"/>
  <c r="I132" i="6"/>
  <c r="P46" i="6"/>
  <c r="T47" i="6"/>
  <c r="C47" i="3" l="1"/>
  <c r="C43" i="3"/>
  <c r="C38" i="3"/>
  <c r="F23" i="3"/>
  <c r="H9" i="2"/>
  <c r="H12" i="2"/>
  <c r="F7" i="21"/>
  <c r="N13" i="21" s="1"/>
  <c r="Q75" i="6"/>
  <c r="P30" i="21"/>
  <c r="Q47" i="6"/>
  <c r="C12" i="3"/>
  <c r="X75" i="6"/>
  <c r="H7" i="21"/>
  <c r="O13" i="21" s="1"/>
  <c r="F7" i="3"/>
  <c r="F26" i="3" s="1"/>
  <c r="C45" i="3" s="1"/>
  <c r="T46" i="6"/>
  <c r="W8" i="6"/>
  <c r="X19" i="6" s="1"/>
  <c r="V42" i="6"/>
  <c r="W42" i="6" s="1"/>
  <c r="N36" i="6"/>
  <c r="N29" i="6" s="1"/>
  <c r="N7" i="6" s="1"/>
  <c r="P39" i="6"/>
  <c r="C8" i="3" l="1"/>
  <c r="X9" i="6"/>
  <c r="X12" i="6"/>
  <c r="X15" i="6"/>
  <c r="V36" i="6"/>
  <c r="V29" i="6" s="1"/>
  <c r="V7" i="6" s="1"/>
  <c r="T39" i="6"/>
  <c r="W39" i="6" s="1"/>
  <c r="W36" i="6" s="1"/>
  <c r="P36" i="6"/>
  <c r="C36" i="3" l="1"/>
  <c r="C34" i="3"/>
  <c r="C18" i="3"/>
  <c r="W29" i="6"/>
  <c r="P29" i="6"/>
  <c r="Q36" i="6" s="1"/>
  <c r="T36" i="6"/>
  <c r="C15" i="3" l="1"/>
  <c r="C32" i="3" s="1"/>
  <c r="X36" i="6"/>
  <c r="W7" i="6"/>
  <c r="T29" i="6"/>
  <c r="P7" i="6"/>
  <c r="W132" i="6" l="1"/>
  <c r="F5" i="21"/>
  <c r="N12" i="21" s="1"/>
  <c r="Q8" i="6"/>
  <c r="C7" i="3"/>
  <c r="C26" i="3" s="1"/>
  <c r="H5" i="21"/>
  <c r="O12" i="21" s="1"/>
  <c r="X8" i="6"/>
  <c r="X29" i="6"/>
  <c r="Q29" i="6"/>
  <c r="T7" i="6"/>
  <c r="P13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tc={BB739017-5AFE-4770-A2FD-9BEAF6454235}</author>
    <author>Angelo Costa</author>
  </authors>
  <commentList>
    <comment ref="F20" authorId="0" shapeId="0" xr:uid="{BB739017-5AFE-4770-A2FD-9BEAF645423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Decreto nº 9.580/2018:  IRRF Pessoa Física
Art. 677 Fato Gerador
§ 2º O imposto sobre a renda será retido por ocasião de cada pagamento e se, no mês, houver mais de um pagamento, a qualquer título, pela mesma fonte pagadora, será aplicada a alíquota correspondente à soma dos rendimentos pagos à pessoa física, ressalvado o disposto no § 1º do art. 776 , deduzido o imposto anteriormente retido no próprio mês ( Lei nº 7.713, de 1988, art. 7º, § 1º ; e Lei nº 8.134, de 1990, art. 3º ).</t>
      </text>
    </comment>
    <comment ref="F23" authorId="1" shapeId="0" xr:uid="{BB72C1D8-7F97-4723-B7C2-5AB25676713B}">
      <text>
        <r>
          <rPr>
            <b/>
            <sz val="9"/>
            <color indexed="81"/>
            <rFont val="Segoe UI"/>
            <family val="2"/>
          </rPr>
          <t xml:space="preserve">
   Lei nº 12.973/2014: Valor da Imobilização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
   Art. 15. </t>
        </r>
        <r>
          <rPr>
            <sz val="9"/>
            <color indexed="81"/>
            <rFont val="Segoe UI"/>
            <family val="2"/>
          </rPr>
          <t xml:space="preserve">O custo de aquisição de bens do ativo não circulante imobilizado e intangível não poderá ser deduzido como despesa operacional, salvo se o bem adquirido tiver valor unitário não </t>
        </r>
        <r>
          <rPr>
            <b/>
            <sz val="9"/>
            <color indexed="81"/>
            <rFont val="Segoe UI"/>
            <family val="2"/>
          </rPr>
          <t>superior a R$ 1.200,00</t>
        </r>
        <r>
          <rPr>
            <sz val="9"/>
            <color indexed="81"/>
            <rFont val="Segoe UI"/>
            <family val="2"/>
          </rPr>
          <t xml:space="preserve"> (mil e duzentos reais) ou prazo de vida útil não superior a 1 (um) ano.</t>
        </r>
      </text>
    </comment>
    <comment ref="F24" authorId="1" shapeId="0" xr:uid="{59FFAEAB-F1AB-4184-82FD-F65C19E9F2EF}">
      <text>
        <r>
          <rPr>
            <b/>
            <sz val="9"/>
            <color indexed="81"/>
            <rFont val="Segoe UI"/>
            <family val="2"/>
          </rPr>
          <t xml:space="preserve">
   CPC 27: Elementos do Custo:
 16. </t>
        </r>
        <r>
          <rPr>
            <sz val="9"/>
            <color indexed="81"/>
            <rFont val="Segoe UI"/>
            <family val="2"/>
          </rPr>
          <t>O custo de um item do ativo imobilizado compreende:</t>
        </r>
        <r>
          <rPr>
            <b/>
            <sz val="9"/>
            <color indexed="81"/>
            <rFont val="Segoe UI"/>
            <family val="2"/>
          </rPr>
          <t xml:space="preserve">
(a) </t>
        </r>
        <r>
          <rPr>
            <sz val="9"/>
            <color indexed="81"/>
            <rFont val="Segoe UI"/>
            <family val="2"/>
          </rPr>
          <t xml:space="preserve">seu preço de aquisição, acrescido de impostos de importação e impostos não recuperáveis sobre a compra, depois de deduzidos os descontos comerciais e abatimentos; </t>
        </r>
      </text>
    </comment>
    <comment ref="F25" authorId="1" shapeId="0" xr:uid="{41523089-5CAE-4734-B88F-44CE665D950E}">
      <text>
        <r>
          <rPr>
            <b/>
            <sz val="9"/>
            <color indexed="81"/>
            <rFont val="Segoe UI"/>
            <family val="2"/>
          </rPr>
          <t xml:space="preserve"> Lei Complementar 87/1996
Art. 20. </t>
        </r>
        <r>
          <rPr>
            <sz val="9"/>
            <color indexed="81"/>
            <rFont val="Segoe UI"/>
            <family val="2"/>
          </rPr>
          <t xml:space="preserve">Para a compensação a que se refere o artigo anterior, é assegurado ao sujeito passivo </t>
        </r>
        <r>
          <rPr>
            <b/>
            <sz val="9"/>
            <color indexed="81"/>
            <rFont val="Segoe UI"/>
            <family val="2"/>
          </rPr>
          <t>o direito de creditar-se</t>
        </r>
        <r>
          <rPr>
            <sz val="9"/>
            <color indexed="81"/>
            <rFont val="Segoe UI"/>
            <family val="2"/>
          </rPr>
          <t xml:space="preserve"> do imposto anteriormente cobrado </t>
        </r>
        <r>
          <rPr>
            <b/>
            <sz val="9"/>
            <color indexed="81"/>
            <rFont val="Segoe UI"/>
            <family val="2"/>
          </rPr>
          <t xml:space="preserve">em operações </t>
        </r>
        <r>
          <rPr>
            <sz val="9"/>
            <color indexed="81"/>
            <rFont val="Segoe UI"/>
            <family val="2"/>
          </rPr>
          <t xml:space="preserve">de que tenha resultado a entrada de mercadoria, real ou simbólica, no estabelecimento, inclusive a </t>
        </r>
        <r>
          <rPr>
            <b/>
            <sz val="9"/>
            <color indexed="81"/>
            <rFont val="Segoe UI"/>
            <family val="2"/>
          </rPr>
          <t>destinada ao seu uso ou consumo ou ao ativo permanente,</t>
        </r>
        <r>
          <rPr>
            <sz val="9"/>
            <color indexed="81"/>
            <rFont val="Segoe UI"/>
            <family val="2"/>
          </rPr>
          <t xml:space="preserve"> ou o recebimento de serviços de transporte interestadual e intermunicipal ou de comunicação.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§ 5o</t>
        </r>
        <r>
          <rPr>
            <sz val="9"/>
            <color indexed="81"/>
            <rFont val="Segoe UI"/>
            <family val="2"/>
          </rPr>
          <t xml:space="preserve"> Para efeito do disposto no caput deste artigo, relativamente aos créditos decorrentes de entrada de mercadorias no estabelecimento destinadas ao ativo permanente, deverá ser observado: </t>
        </r>
        <r>
          <rPr>
            <b/>
            <sz val="9"/>
            <color indexed="81"/>
            <rFont val="Segoe UI"/>
            <family val="2"/>
          </rPr>
          <t>(Redação dada pela LCP nº 102, de 11.7.2000) (Vide Lei Complementar nº 102, de 2000) (Vide Lei Complementar nº 102, de 2000)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I –</t>
        </r>
        <r>
          <rPr>
            <sz val="9"/>
            <color indexed="81"/>
            <rFont val="Segoe UI"/>
            <family val="2"/>
          </rPr>
          <t xml:space="preserve"> </t>
        </r>
        <r>
          <rPr>
            <b/>
            <sz val="9"/>
            <color indexed="81"/>
            <rFont val="Segoe UI"/>
            <family val="2"/>
          </rPr>
          <t>a apropriação</t>
        </r>
        <r>
          <rPr>
            <sz val="9"/>
            <color indexed="81"/>
            <rFont val="Segoe UI"/>
            <family val="2"/>
          </rPr>
          <t xml:space="preserve"> </t>
        </r>
        <r>
          <rPr>
            <b/>
            <sz val="9"/>
            <color indexed="81"/>
            <rFont val="Segoe UI"/>
            <family val="2"/>
          </rPr>
          <t>será feita à razão de um quarenta e oito avos por mês,</t>
        </r>
        <r>
          <rPr>
            <sz val="9"/>
            <color indexed="81"/>
            <rFont val="Segoe UI"/>
            <family val="2"/>
          </rPr>
          <t xml:space="preserve"> devendo a primeira fração ser apropriada no mês em que ocorrer a entrada no estabelecimento; (Inciso Incluído pela LCP nº 102, de 11.7.2000)
</t>
        </r>
      </text>
    </comment>
    <comment ref="F41" authorId="1" shapeId="0" xr:uid="{F6108F54-0C0F-4F20-9767-C72997E5173E}">
      <text>
        <r>
          <rPr>
            <b/>
            <sz val="9"/>
            <color indexed="81"/>
            <rFont val="Segoe UI"/>
            <family val="2"/>
          </rPr>
          <t xml:space="preserve">
  Decreto nº 9.580/2018:  IRRF Pessoa Física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
Art. 677 </t>
        </r>
        <r>
          <rPr>
            <sz val="9"/>
            <color indexed="81"/>
            <rFont val="Segoe UI"/>
            <family val="2"/>
          </rPr>
          <t>Fato Gerador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§ 2º </t>
        </r>
        <r>
          <rPr>
            <sz val="9"/>
            <color indexed="81"/>
            <rFont val="Segoe UI"/>
            <family val="2"/>
          </rPr>
          <t xml:space="preserve">O imposto sobre a renda será retido </t>
        </r>
        <r>
          <rPr>
            <b/>
            <sz val="9"/>
            <color indexed="81"/>
            <rFont val="Segoe UI"/>
            <family val="2"/>
          </rPr>
          <t>por ocasião de cada pagamento</t>
        </r>
        <r>
          <rPr>
            <sz val="9"/>
            <color indexed="81"/>
            <rFont val="Segoe UI"/>
            <family val="2"/>
          </rPr>
          <t xml:space="preserve"> e se, no mês, houver mais de um pagamento, a qualquer título, pela mesma fonte pagadora, será aplicada a alíquota correspondente à soma dos rendimentos pagos à pessoa física, ressalvado o disposto no § 1º do art. 776 , deduzido o imposto anteriormente retido no próprio mês ( Lei nº 7.713, de 1988, art. 7º, § 1º ; e Lei nº 8.134, de 1990, art. 3º ).</t>
        </r>
      </text>
    </comment>
    <comment ref="F113" authorId="1" shapeId="0" xr:uid="{F1F48F5D-EE11-49CE-A815-2132425BBE8A}">
      <text>
        <r>
          <rPr>
            <b/>
            <sz val="9"/>
            <color indexed="81"/>
            <rFont val="Segoe UI"/>
            <family val="2"/>
          </rPr>
          <t xml:space="preserve">
  Decreto nº 9.580/2018:  IRRF Pessoa Física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
Art. 677 </t>
        </r>
        <r>
          <rPr>
            <sz val="9"/>
            <color indexed="81"/>
            <rFont val="Segoe UI"/>
            <family val="2"/>
          </rPr>
          <t>Fato Gerador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§ 2º </t>
        </r>
        <r>
          <rPr>
            <sz val="9"/>
            <color indexed="81"/>
            <rFont val="Segoe UI"/>
            <family val="2"/>
          </rPr>
          <t xml:space="preserve">O imposto sobre a renda será retido </t>
        </r>
        <r>
          <rPr>
            <b/>
            <sz val="9"/>
            <color indexed="81"/>
            <rFont val="Segoe UI"/>
            <family val="2"/>
          </rPr>
          <t>por ocasião de cada pagamento</t>
        </r>
        <r>
          <rPr>
            <sz val="9"/>
            <color indexed="81"/>
            <rFont val="Segoe UI"/>
            <family val="2"/>
          </rPr>
          <t xml:space="preserve"> e se, no mês, houver mais de um pagamento, a qualquer título, pela mesma fonte pagadora, será aplicada a alíquota correspondente à soma dos rendimentos pagos à pessoa física, ressalvado o disposto no § 1º do art. 776 , deduzido o imposto anteriormente retido no próprio mês ( Lei nº 7.713, de 1988, art. 7º, § 1º ; e Lei nº 8.134, de 1990, art. 3º ).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<sst xmlns="http://schemas.openxmlformats.org/spreadsheetml/2006/main" count="2162" uniqueCount="933">
  <si>
    <t>Código</t>
  </si>
  <si>
    <t>Descrição das Contas</t>
  </si>
  <si>
    <t>ATIVO</t>
  </si>
  <si>
    <t>1.1</t>
  </si>
  <si>
    <t>ATIVO CIRCULANTE</t>
  </si>
  <si>
    <t>1.1.1</t>
  </si>
  <si>
    <t>1.1.1.01</t>
  </si>
  <si>
    <t>Caixa</t>
  </si>
  <si>
    <t>1.1.1.02</t>
  </si>
  <si>
    <t>Bancos Conta Movimento</t>
  </si>
  <si>
    <t>1.1.2</t>
  </si>
  <si>
    <t>Contas a Receber</t>
  </si>
  <si>
    <t>1.1.2.01</t>
  </si>
  <si>
    <t>Clientes</t>
  </si>
  <si>
    <t>1.1.2.02</t>
  </si>
  <si>
    <t>(-) Perdas Estimadas com Créditos de Liquidação Duvidosa</t>
  </si>
  <si>
    <t>1.1.3</t>
  </si>
  <si>
    <t>Estoque</t>
  </si>
  <si>
    <t>1.1.3.01</t>
  </si>
  <si>
    <t>Mercadorias</t>
  </si>
  <si>
    <t>1.1.3.02</t>
  </si>
  <si>
    <t>Produtos Acabados</t>
  </si>
  <si>
    <t>1.1.3.03</t>
  </si>
  <si>
    <t>Insumos</t>
  </si>
  <si>
    <t>1.1.4</t>
  </si>
  <si>
    <t>Outros Créditos</t>
  </si>
  <si>
    <t>1.1.4.01</t>
  </si>
  <si>
    <t>Títulos a Receber</t>
  </si>
  <si>
    <t>1.1.4.02</t>
  </si>
  <si>
    <t>1.1.4.03</t>
  </si>
  <si>
    <t>Outros Valores a Receber</t>
  </si>
  <si>
    <t>1.3</t>
  </si>
  <si>
    <t>ATIVO NÃO CIRCULANTE</t>
  </si>
  <si>
    <t>1.3.1</t>
  </si>
  <si>
    <t>Realizável a Longo Prazo</t>
  </si>
  <si>
    <t>1.3.1.01</t>
  </si>
  <si>
    <t>1.3.1.02</t>
  </si>
  <si>
    <t>1.3.2</t>
  </si>
  <si>
    <t>Investimentos</t>
  </si>
  <si>
    <t>1.3.2.01</t>
  </si>
  <si>
    <t>Participações Societárias</t>
  </si>
  <si>
    <t>1.3.2.02</t>
  </si>
  <si>
    <t>Outros Investimentos</t>
  </si>
  <si>
    <t>1.3.3</t>
  </si>
  <si>
    <t>Imobilizado</t>
  </si>
  <si>
    <t>1.3.3.01</t>
  </si>
  <si>
    <t>Terrenos</t>
  </si>
  <si>
    <t>1.3.3.02</t>
  </si>
  <si>
    <t>Edificações</t>
  </si>
  <si>
    <t>1.3.3.03</t>
  </si>
  <si>
    <t>Máquinas e Equipamentos</t>
  </si>
  <si>
    <t>1.3.3.04</t>
  </si>
  <si>
    <t>Veículos</t>
  </si>
  <si>
    <t>1.3.3.05</t>
  </si>
  <si>
    <t>Móveis e Utensílios</t>
  </si>
  <si>
    <t>1.3.3.06</t>
  </si>
  <si>
    <t>(-) Depreciação Acumulada</t>
  </si>
  <si>
    <t>1.3.4</t>
  </si>
  <si>
    <t>Intangível</t>
  </si>
  <si>
    <t>1.3.4.01</t>
  </si>
  <si>
    <t>Softwares</t>
  </si>
  <si>
    <t>1.3.4.02</t>
  </si>
  <si>
    <t>(-) Amortização Acumulada</t>
  </si>
  <si>
    <t>PASSIVO E PATRIMÔNIO LÍQUIDO</t>
  </si>
  <si>
    <t>2.1</t>
  </si>
  <si>
    <t>PASSIVO CIRCULANTE</t>
  </si>
  <si>
    <t>2.1.1</t>
  </si>
  <si>
    <t>Fornecedores Nacionais</t>
  </si>
  <si>
    <t>2.1.1.01</t>
  </si>
  <si>
    <t>Fornecedor</t>
  </si>
  <si>
    <t>2.1.2</t>
  </si>
  <si>
    <t>Empréstimos e Financiamentos</t>
  </si>
  <si>
    <t>2.1.2.01</t>
  </si>
  <si>
    <t>Empréstimos Bancários</t>
  </si>
  <si>
    <t>2.1.2.02</t>
  </si>
  <si>
    <t>Financiamentos</t>
  </si>
  <si>
    <t>2.1.3</t>
  </si>
  <si>
    <t>Obrigações Fiscais</t>
  </si>
  <si>
    <t>2.1.3.01</t>
  </si>
  <si>
    <t>SIMPLES NACIONAL</t>
  </si>
  <si>
    <t>2.1.3.02</t>
  </si>
  <si>
    <t>ICMS a Recolher</t>
  </si>
  <si>
    <t>2.1.3.03</t>
  </si>
  <si>
    <t>2.1.4</t>
  </si>
  <si>
    <t>Obrigações Trabalhistas e Sociais</t>
  </si>
  <si>
    <t>2.1.4.01</t>
  </si>
  <si>
    <t>Salários a Pagar</t>
  </si>
  <si>
    <t>2.1.4.02</t>
  </si>
  <si>
    <t>2.1.4.03</t>
  </si>
  <si>
    <t>2.1.5</t>
  </si>
  <si>
    <t>Contas a Pagar</t>
  </si>
  <si>
    <t>2.1.5.01</t>
  </si>
  <si>
    <t>Telefone a Pagar</t>
  </si>
  <si>
    <t>2.1.5.02</t>
  </si>
  <si>
    <t>Energia a Pagar</t>
  </si>
  <si>
    <t>2.1.5.03</t>
  </si>
  <si>
    <t>Aluguel a Pagar</t>
  </si>
  <si>
    <t>2.1.6</t>
  </si>
  <si>
    <t>Provisões</t>
  </si>
  <si>
    <t>2.1.6.01</t>
  </si>
  <si>
    <t>Provisão de Férias</t>
  </si>
  <si>
    <t>2.1.6.02</t>
  </si>
  <si>
    <t>Provisão de 13º Salário</t>
  </si>
  <si>
    <t>2.1.6.03</t>
  </si>
  <si>
    <t>Provisão de Encargos Sociais sobre Férias e 13º Salário</t>
  </si>
  <si>
    <t>2.2</t>
  </si>
  <si>
    <t>PASSIVO NÃO CIRCULANTE</t>
  </si>
  <si>
    <t>2.2.1</t>
  </si>
  <si>
    <t>2.2.1.01</t>
  </si>
  <si>
    <t>Financiamentos Banco A</t>
  </si>
  <si>
    <t>2.2.2</t>
  </si>
  <si>
    <t>Outras Contas a Pagar</t>
  </si>
  <si>
    <t>2.2.2.01</t>
  </si>
  <si>
    <t>Empréstimos de Sócios</t>
  </si>
  <si>
    <t>2.3</t>
  </si>
  <si>
    <t>PATRIMÔNIO LÍQUIDO</t>
  </si>
  <si>
    <t>2.3.1</t>
  </si>
  <si>
    <t>Capital Social</t>
  </si>
  <si>
    <t>2.3.1.01</t>
  </si>
  <si>
    <t>Capital Subscrito</t>
  </si>
  <si>
    <t>2.3.1.02</t>
  </si>
  <si>
    <t>(-) Capital a Integralizar</t>
  </si>
  <si>
    <t>2.3.2</t>
  </si>
  <si>
    <t>Reservas</t>
  </si>
  <si>
    <t>2.3.2.01</t>
  </si>
  <si>
    <t>Reservas de Capital</t>
  </si>
  <si>
    <t>2.3.2.02</t>
  </si>
  <si>
    <t>Reservas de Lucros</t>
  </si>
  <si>
    <t>2.3.3</t>
  </si>
  <si>
    <t>Lucros/Prejuízos Acumulados</t>
  </si>
  <si>
    <t>2.3.3.01</t>
  </si>
  <si>
    <t>Lucros Acumulados</t>
  </si>
  <si>
    <t>2.3.3.02</t>
  </si>
  <si>
    <t>(-) Prejuízos Acumulados</t>
  </si>
  <si>
    <t>RECEITAS, CUSTOS E DESPEAS (CONTAS DE RESULTADO)</t>
  </si>
  <si>
    <t>3.1</t>
  </si>
  <si>
    <t>RECEITAS</t>
  </si>
  <si>
    <t>3.1.1</t>
  </si>
  <si>
    <t>Receitas de Venda</t>
  </si>
  <si>
    <t>3.1.1.01</t>
  </si>
  <si>
    <t>Venda de Produtos</t>
  </si>
  <si>
    <t>3.1.1.02</t>
  </si>
  <si>
    <t>Venda de Mercadorias</t>
  </si>
  <si>
    <t>3.1.1.03</t>
  </si>
  <si>
    <t>3.1.1.04</t>
  </si>
  <si>
    <t>(-) Deduções de Tributos, Abatimentos e Devoluções</t>
  </si>
  <si>
    <t>3.1.2</t>
  </si>
  <si>
    <t>Receitas Financeiras</t>
  </si>
  <si>
    <t>3.1.2.01</t>
  </si>
  <si>
    <t>Receitas de Aplicações Financeiras</t>
  </si>
  <si>
    <t>3.1.2.02</t>
  </si>
  <si>
    <t>Juros Ativos</t>
  </si>
  <si>
    <t>3.1.3</t>
  </si>
  <si>
    <t>Outras Receitas Operacionais</t>
  </si>
  <si>
    <t>3.1.3.01</t>
  </si>
  <si>
    <t>Receitas de Venda de Imobilizado</t>
  </si>
  <si>
    <t>3.1.3.02</t>
  </si>
  <si>
    <t>Receitas de Venda de Investimentos</t>
  </si>
  <si>
    <t>3.1.3.03</t>
  </si>
  <si>
    <t>Outras Receitas</t>
  </si>
  <si>
    <t>3.2</t>
  </si>
  <si>
    <t>CUSTOS E DESPESAS</t>
  </si>
  <si>
    <t>3.2.1</t>
  </si>
  <si>
    <t>Custos dos Produtos, Mercadorias e Serviços Vendidos</t>
  </si>
  <si>
    <t>3.2.1.01</t>
  </si>
  <si>
    <t>3.2.1.02</t>
  </si>
  <si>
    <t>3.2.1.03</t>
  </si>
  <si>
    <t>3.2.2</t>
  </si>
  <si>
    <t>3.2.2.01</t>
  </si>
  <si>
    <t>Despesas Administrativas</t>
  </si>
  <si>
    <t>3.2.2.02</t>
  </si>
  <si>
    <t>Despesas com Vendas</t>
  </si>
  <si>
    <t>3.2.2.03</t>
  </si>
  <si>
    <t>Outras Despesas Gerais</t>
  </si>
  <si>
    <t>3.2.3</t>
  </si>
  <si>
    <t>Despesas Financeiras</t>
  </si>
  <si>
    <t>3.2.3.01</t>
  </si>
  <si>
    <t>Juros Passivos</t>
  </si>
  <si>
    <t>3.2.3.02</t>
  </si>
  <si>
    <t>3.2.4</t>
  </si>
  <si>
    <t>3.2.4.01</t>
  </si>
  <si>
    <t>3.2.4.02</t>
  </si>
  <si>
    <t>Outras Despesas</t>
  </si>
  <si>
    <t>Saldo Anterior</t>
  </si>
  <si>
    <t>Débito</t>
  </si>
  <si>
    <t>Crédito</t>
  </si>
  <si>
    <t>Saldo Atual</t>
  </si>
  <si>
    <t>VENDAS DE PRODUTOS, MERCADORIAS E SERVIÇOS</t>
  </si>
  <si>
    <t>Vendas de Produtos, Mercadorias e Serviços</t>
  </si>
  <si>
    <t>(-) CUSTO DAS VENDAS</t>
  </si>
  <si>
    <t>Custo dos Produtos, Mercadorias e Serviços</t>
  </si>
  <si>
    <t>(-) DESPESAS OPERACIONAIS</t>
  </si>
  <si>
    <t>(+/-) RESULTADO FINANCEIRO</t>
  </si>
  <si>
    <t>(-) Despesas Financeiras</t>
  </si>
  <si>
    <t>(+/-) OUTRAS RECEITAS E DESPESAS OPERACIONAIS</t>
  </si>
  <si>
    <t>LUCRO BRUTO</t>
  </si>
  <si>
    <t>RESULTADO OPERACIONAL ANTES DO RESULTADO FINANCEIRO</t>
  </si>
  <si>
    <t>RESULTADO ANTES DAS DESPESAS COM TRIBUTOS SOBRE O LUCRO</t>
  </si>
  <si>
    <t>RESULTADO LÍQUIDO DO PERÍODO</t>
  </si>
  <si>
    <t>DEMONSTRAÇÃO DO RESULTADO DO EXERCÍCIO</t>
  </si>
  <si>
    <t>TOTAL</t>
  </si>
  <si>
    <t>MOVIMENTAÇÃO CONTÁBIL</t>
  </si>
  <si>
    <t>– Provisão do FGTS 8% sobre os salários provisionados no valor de R$ 240,00;</t>
  </si>
  <si>
    <t>– Apropriação da despesa mensal com aluguel no valor previsto em contrato;</t>
  </si>
  <si>
    <t>– Provisão do FGTS 8% sobre os salários provisionados no valor de R$ 320,00;</t>
  </si>
  <si>
    <t>– Pagamento da conta de água e esgoto em dinheiro no valor de R$ 250,00 conforme fatura da SANEAGO;</t>
  </si>
  <si>
    <t>01.</t>
  </si>
  <si>
    <t>02.</t>
  </si>
  <si>
    <t>PLANO DE CONTAS SIMPLIFICADO - ITG 1000</t>
  </si>
  <si>
    <t>03.</t>
  </si>
  <si>
    <t>04.</t>
  </si>
  <si>
    <t>Nº</t>
  </si>
  <si>
    <t>05.</t>
  </si>
  <si>
    <t>06.</t>
  </si>
  <si>
    <t>07.</t>
  </si>
  <si>
    <t>08.</t>
  </si>
  <si>
    <t>2.1.3.04</t>
  </si>
  <si>
    <t>09.</t>
  </si>
  <si>
    <t>10.</t>
  </si>
  <si>
    <t>2.1.4.04</t>
  </si>
  <si>
    <t>IRRF Sobre Salários a Recolher</t>
  </si>
  <si>
    <t xml:space="preserve">(-) Despesa com Contribuição Social </t>
  </si>
  <si>
    <t xml:space="preserve">(-) Despesa com Imposto de Renda da Pessoa Jurídica </t>
  </si>
  <si>
    <t>11.</t>
  </si>
  <si>
    <t>12.</t>
  </si>
  <si>
    <t>13.</t>
  </si>
  <si>
    <t>14.</t>
  </si>
  <si>
    <t>15.</t>
  </si>
  <si>
    <t>PIS a Recolher</t>
  </si>
  <si>
    <t>COFINS a Recolher</t>
  </si>
  <si>
    <t>2.1.3.05</t>
  </si>
  <si>
    <t>2.1.3.06</t>
  </si>
  <si>
    <t>2.1.3.07</t>
  </si>
  <si>
    <t>CSLL a Recolher</t>
  </si>
  <si>
    <t>IRPJ a Recolher</t>
  </si>
  <si>
    <t>– Integralização total do capital social conforme comprovante de depósito bancário na conta do Banco Itaú, aberta no CNPJ da empresa;</t>
  </si>
  <si>
    <t>– Pagamento da conta de energia elétrica em dinheiro no valor de R$ 750,00 conforme fatura da ENEL;</t>
  </si>
  <si>
    <t>– Pagamento da conta de internet em dinheiro no valor de R$ 400,00 conforme fatura da CLARO;</t>
  </si>
  <si>
    <t>– Pagamento de FGTS no valor de R$ 240,00 conforme GRF paga na conta da empresa. Foi cobrado juros de R$ 60,00 pelo pagamento em atraso;</t>
  </si>
  <si>
    <t>– Pagamento da conta de água e esgoto em dinheiro no valor de R$ 200,00 conforme fatura da CAESB;</t>
  </si>
  <si>
    <t>– Provisão da folha de pagamento de salários referente a competência janeiro, sendo: Salários R$ 3.000,00; Hora-Extra R$ 700,00; DSR R$ 300,00; INSS retido R$ 320,00; Imposto de Renda Retido R$ 265,00;</t>
  </si>
  <si>
    <t>– Pagamento de FGTS no valor de R$ 320,00 conforme extrato bancário;</t>
  </si>
  <si>
    <t>– Pagamento de R$ 320,00 referente ao INSS descontado do empregado, conforme GPS paga com QR Code;</t>
  </si>
  <si>
    <t>– Pagamento da conta de internet em dinheiro no valor de R$ 380,00 com juros de R$ 20,00 conforme fatura da CLARO;</t>
  </si>
  <si>
    <t>– Provisão da folha de pagamento de salários referente a competência março, sendo: Salários R$ 3.000,00; Hora-Extra R$ 750,00; DSR R$ 250,00; INSS retido R$ 320,00; Imposto de Renda Retido R$ 265,00;</t>
  </si>
  <si>
    <t>ORIGEM</t>
  </si>
  <si>
    <t>D E S T I N O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</si>
  <si>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</si>
  <si>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</si>
  <si>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</si>
  <si>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</si>
  <si>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</si>
  <si>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</si>
  <si>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</si>
  <si>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</si>
  <si>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</si>
  <si>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</si>
  <si>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</si>
  <si>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</si>
  <si>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</si>
  <si>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</si>
  <si>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</si>
  <si>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</si>
  <si>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</si>
  <si>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</si>
  <si>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RN</t>
  </si>
  <si>
    <t>RS</t>
  </si>
  <si>
    <t>RJ</t>
  </si>
  <si>
    <t>RO</t>
  </si>
  <si>
    <t>RR</t>
  </si>
  <si>
    <t>SC</t>
  </si>
  <si>
    <t>SP</t>
  </si>
  <si>
    <t>SE</t>
  </si>
  <si>
    <t>TO</t>
  </si>
  <si>
    <t>EX</t>
  </si>
  <si>
    <t>APURAÇÃO DO ICMS</t>
  </si>
  <si>
    <t>SAÍDAS</t>
  </si>
  <si>
    <t>ENTRADAS</t>
  </si>
  <si>
    <t>APURAÇÃO DO ISS</t>
  </si>
  <si>
    <t>PASSIVO + PL</t>
  </si>
  <si>
    <t>DESPESAS</t>
  </si>
  <si>
    <t>APURAÇÃO</t>
  </si>
  <si>
    <t>BALANÇO PATRIMONIAL SIMPLIFICADO - ITG 1000</t>
  </si>
  <si>
    <t>Resolução SF nº 22/1989</t>
  </si>
  <si>
    <t>Base de Cálculo</t>
  </si>
  <si>
    <t>UF</t>
  </si>
  <si>
    <t>Alíquota</t>
  </si>
  <si>
    <t>Valor do ICMS</t>
  </si>
  <si>
    <t>DÉBITO</t>
  </si>
  <si>
    <t>CRÉDITO</t>
  </si>
  <si>
    <t>Débito do ICMS</t>
  </si>
  <si>
    <t>ICMS Apurado</t>
  </si>
  <si>
    <t>Crédito ICMS DIFAL</t>
  </si>
  <si>
    <t>ICMS a Pagar</t>
  </si>
  <si>
    <t>ICMS a Recuperar</t>
  </si>
  <si>
    <t>VENDA DE MERCADORIA</t>
  </si>
  <si>
    <t>COMPRA DE MERCADORIA</t>
  </si>
  <si>
    <t>COMPRA DE IMOBILIZADO</t>
  </si>
  <si>
    <t>Alíquota DIFAL</t>
  </si>
  <si>
    <t>Alíquota Interestadual</t>
  </si>
  <si>
    <t>Alíquota Interna</t>
  </si>
  <si>
    <t>CONTROLE SALDO DIFAL</t>
  </si>
  <si>
    <t>Crédito do ICMS</t>
  </si>
  <si>
    <t>Saldo do Período</t>
  </si>
  <si>
    <t>Código LC nº 116/2003</t>
  </si>
  <si>
    <t>ISS Apurado</t>
  </si>
  <si>
    <t>ISS a Pagar</t>
  </si>
  <si>
    <t>ISS a Recuperar</t>
  </si>
  <si>
    <t>14.02</t>
  </si>
  <si>
    <t>APURAÇÃO PIS / COFINS</t>
  </si>
  <si>
    <t>REGIME CUMULATIVO</t>
  </si>
  <si>
    <t>Base de Cálculo do Pis</t>
  </si>
  <si>
    <t>Alíquota do Pis</t>
  </si>
  <si>
    <t>Pis Apurado</t>
  </si>
  <si>
    <t>Pis Retido na Fonte</t>
  </si>
  <si>
    <t>ISS Retido na Fonte</t>
  </si>
  <si>
    <t>Pis a Pagar</t>
  </si>
  <si>
    <t>Pis a Recuperar</t>
  </si>
  <si>
    <t>Base de Cálculo da Cofins</t>
  </si>
  <si>
    <t>Cofins Retido na Fonte</t>
  </si>
  <si>
    <t>Cofins a Pagar</t>
  </si>
  <si>
    <t>Cofins a Recuperar</t>
  </si>
  <si>
    <t>REGIME não CUMULATIVO</t>
  </si>
  <si>
    <t>Receitas de Serviços</t>
  </si>
  <si>
    <t xml:space="preserve">Receitas de Vendas </t>
  </si>
  <si>
    <t>Base de Cálculo do Crédito do Pis</t>
  </si>
  <si>
    <t>Base de Cálculo do Débito do Pis</t>
  </si>
  <si>
    <r>
      <t xml:space="preserve">Compras p/ Revenda </t>
    </r>
    <r>
      <rPr>
        <b/>
        <sz val="11"/>
        <color theme="1"/>
        <rFont val="Century Gothic"/>
        <family val="2"/>
      </rPr>
      <t>(Inciso I, Art. 3º, Lei nº 10.833/2003)</t>
    </r>
  </si>
  <si>
    <r>
      <t xml:space="preserve">Despesa c/ Energia </t>
    </r>
    <r>
      <rPr>
        <b/>
        <sz val="11"/>
        <color theme="1"/>
        <rFont val="Century Gothic"/>
        <family val="2"/>
      </rPr>
      <t>(Inciso III, Art. 3º, Lei nº 10.833/2003)</t>
    </r>
  </si>
  <si>
    <r>
      <t xml:space="preserve">Despesa c/ Aluguel </t>
    </r>
    <r>
      <rPr>
        <b/>
        <sz val="11"/>
        <color theme="1"/>
        <rFont val="Century Gothic"/>
        <family val="2"/>
      </rPr>
      <t>(Inciso IV, Art. 3º, Lei nº 10.833/2003)</t>
    </r>
  </si>
  <si>
    <t>Pis Débito</t>
  </si>
  <si>
    <t>Pis Crédito</t>
  </si>
  <si>
    <t>Pis Retido</t>
  </si>
  <si>
    <t>Alíquota da Cofins</t>
  </si>
  <si>
    <t>Base de Cálculo do Débito da Cofins</t>
  </si>
  <si>
    <t>Base de Cálculo do Crédito da Cofins</t>
  </si>
  <si>
    <t>Cofins Débito</t>
  </si>
  <si>
    <t>Cofins Crédito</t>
  </si>
  <si>
    <t>Cofins Apurado</t>
  </si>
  <si>
    <t>Cofins Retido</t>
  </si>
  <si>
    <t>APURAÇÃO IRPJ / CSLL</t>
  </si>
  <si>
    <t>LUCRO PRESUMIDO</t>
  </si>
  <si>
    <t>LUCRO REAL</t>
  </si>
  <si>
    <t>Presunção do IRPJ - Serviços</t>
  </si>
  <si>
    <t>Base Presumida - Serviços</t>
  </si>
  <si>
    <t>Presunção do IRPJ - Vendas</t>
  </si>
  <si>
    <t>Base Presumida - Vendas</t>
  </si>
  <si>
    <t>Lucro Presumido</t>
  </si>
  <si>
    <t>IRPJ Apurado</t>
  </si>
  <si>
    <t>Alíquota do Adicional do IRPJ</t>
  </si>
  <si>
    <t>Alíquota do IRPJ</t>
  </si>
  <si>
    <r>
      <t xml:space="preserve">Base do Adicional do IRPJ </t>
    </r>
    <r>
      <rPr>
        <b/>
        <sz val="15"/>
        <color theme="1"/>
        <rFont val="Century Gothic"/>
        <family val="2"/>
      </rPr>
      <t>(LP - 60.000,00)</t>
    </r>
  </si>
  <si>
    <t>Adicional do IRPJ Apurado</t>
  </si>
  <si>
    <t>IRPJ + Adicional Apurado</t>
  </si>
  <si>
    <t>IRPJ Retido na Fonte</t>
  </si>
  <si>
    <t>IRPJ a Pagar</t>
  </si>
  <si>
    <t>IRPJ a Recuperar</t>
  </si>
  <si>
    <t>Presunção da CSLL - Serviços</t>
  </si>
  <si>
    <t>Presunção da CSLL - Vendas</t>
  </si>
  <si>
    <t>Alíquota da CSLL</t>
  </si>
  <si>
    <t>CSLL Apurada</t>
  </si>
  <si>
    <t>CSLL Retida na Fonte</t>
  </si>
  <si>
    <t>CSLL a Pagar</t>
  </si>
  <si>
    <t>CSLL a Recuperar</t>
  </si>
  <si>
    <t>Outras Receitas + Receitas Financeiras</t>
  </si>
  <si>
    <t>Base do IRPJ</t>
  </si>
  <si>
    <t>DRE</t>
  </si>
  <si>
    <t>LIVRO DE APURAÇÃO DO LUCRO REAL - LALUR</t>
  </si>
  <si>
    <r>
      <t xml:space="preserve">(+) ADIÇÕES </t>
    </r>
    <r>
      <rPr>
        <b/>
        <sz val="12"/>
        <color rgb="FF002060"/>
        <rFont val="Century Gothic"/>
        <family val="2"/>
      </rPr>
      <t>(Art. 260 Decreto nº 9.580/2018)</t>
    </r>
  </si>
  <si>
    <t>Despesas Indedutíveis</t>
  </si>
  <si>
    <r>
      <t xml:space="preserve">(-) EXCLUSÕES </t>
    </r>
    <r>
      <rPr>
        <b/>
        <sz val="12"/>
        <color rgb="FF002060"/>
        <rFont val="Century Gothic"/>
        <family val="2"/>
      </rPr>
      <t>(Art. 261 Decreto nº 9.580/2018)</t>
    </r>
  </si>
  <si>
    <t>Dividendos Recebidos</t>
  </si>
  <si>
    <r>
      <t xml:space="preserve">(-) COMPENSAÇÕES </t>
    </r>
    <r>
      <rPr>
        <b/>
        <sz val="12"/>
        <color rgb="FF002060"/>
        <rFont val="Century Gothic"/>
        <family val="2"/>
      </rPr>
      <t>(Art. 261 Decreto nº 9.580/2018)</t>
    </r>
  </si>
  <si>
    <t>(=) LUCRO AJUSTADO</t>
  </si>
  <si>
    <t>(=) LUCRO REAL</t>
  </si>
  <si>
    <t>Prejuizos Fiscais (limitada a 30% do Lucro ajustado)</t>
  </si>
  <si>
    <r>
      <t xml:space="preserve">Base do Adicional do IRPJ </t>
    </r>
    <r>
      <rPr>
        <b/>
        <sz val="15"/>
        <color theme="1"/>
        <rFont val="Century Gothic"/>
        <family val="2"/>
      </rPr>
      <t>(LR - 60.000,00)</t>
    </r>
  </si>
  <si>
    <t>– Subscrição do capital social no valor de R$ 100.000,00 conforme contrato social da empresa EMPRESA TESTE registrado na Junta Comercial do Distrito Federal;</t>
  </si>
  <si>
    <t>LIVRO DIÁRIO</t>
  </si>
  <si>
    <t>Natureza</t>
  </si>
  <si>
    <t>Conta Analítica</t>
  </si>
  <si>
    <t>Valor</t>
  </si>
  <si>
    <t>Histórico</t>
  </si>
  <si>
    <t>– Adiantamento de seis meses do Aluguel no valor de R$ 6.000,00;</t>
  </si>
  <si>
    <t>– Provisão do aluguel do imóvel no valor de R$ 1.000,00 por mês conforme contrato de locação, registrado em cartório com duração de 01 (um) ano e vencimento no dia 10 (dez) de cada mês;</t>
  </si>
  <si>
    <t>1.1.4.04</t>
  </si>
  <si>
    <t>Aluguel a Vencer</t>
  </si>
  <si>
    <t>– Aquisição de mesas e cadeiras no valor de R$ 3.000,00, sendo R$ 2.000,00 a vista e o restante com pagamento para 30 dias conforme a  NF nº 114 da empresa FORNECEDOR DE SÃO PAULO;</t>
  </si>
  <si>
    <t>(Lei Complementar 102/2000)</t>
  </si>
  <si>
    <t>3.1.1.05</t>
  </si>
  <si>
    <t>(-) Abatimentos e Devoluções</t>
  </si>
  <si>
    <t>– Prestação de Serviços de manutenção a vista no valor de R$ 3.000,00 conforme NFS nº 001 para o TOMADOR PRIVADO, recebido na conta corrente da pessoa jurídica;</t>
  </si>
  <si>
    <t>– Suprimento de Caixa para pequenos gastos emergenciais no valor de R$ 3.000,00;</t>
  </si>
  <si>
    <t>INSS a Recolher</t>
  </si>
  <si>
    <t>FGTS a Pagar</t>
  </si>
  <si>
    <t>– Recebimento de cliente no valor de R$ 20.000,00 conforme NF nº 001 emitida para a empresa CLIENTE INTERNO;</t>
  </si>
  <si>
    <t>– Pagamento da NF nº 110 do FORNCEDOR DE BELO HORIZONTE no valor de R$ 10.000,00;</t>
  </si>
  <si>
    <t>– Prestação de Serviço à vista, recebido no caixa o valor de R$ 5.000,00 conforme NFS nº 003 para o CLIENTE PRIVADO;</t>
  </si>
  <si>
    <t>– Pagamento da conta de energia elétrica via bank line no valor de R$ 900,00 conforme fatura da CELG;</t>
  </si>
  <si>
    <t>– Pagamento de INSS no valor de R$ 240,00 conforme GPS paga na conta corrente da empresa;</t>
  </si>
  <si>
    <t>– Pagamento de IRRF sobre a folha de salários no valor de R$ 115,00 com juros de R$ 15,00 referente a competência janeiro;</t>
  </si>
  <si>
    <t>– Recebimento de cliente no valor de R$ 5.000,00 conforme NF nº 002 emitida para a empresa TOMADOR PRIVADO;</t>
  </si>
  <si>
    <t>16.</t>
  </si>
  <si>
    <t>17.</t>
  </si>
  <si>
    <t>– Apropriação da despesa mensal com aluguel no valor previsto em contrato referente a competência fevereiro;</t>
  </si>
  <si>
    <t>18.</t>
  </si>
  <si>
    <t>19.</t>
  </si>
  <si>
    <t>20.</t>
  </si>
  <si>
    <t>21.</t>
  </si>
  <si>
    <t>– Venda de mercadorias a prazo no valor de R$ 90.000,00, sendo três parcelas com o vencimento da primeira em trinta dias, conforme NF nº 002 para o CLIENTE DO RIO DE JANEIRO;</t>
  </si>
  <si>
    <t>22.</t>
  </si>
  <si>
    <t>– Pagamento da NF nº 114 do FORNCEDOR DE SÃO PAULO no valor de R$ 1.000,00 conforme extrato bancário;</t>
  </si>
  <si>
    <t>23.</t>
  </si>
  <si>
    <t>24.</t>
  </si>
  <si>
    <t>25.</t>
  </si>
  <si>
    <t>26.</t>
  </si>
  <si>
    <t>27.</t>
  </si>
  <si>
    <t>28.</t>
  </si>
  <si>
    <t>– Apropriação da despesa com depreciação;</t>
  </si>
  <si>
    <t>29.</t>
  </si>
  <si>
    <t>30.</t>
  </si>
  <si>
    <t>31.</t>
  </si>
  <si>
    <t>32.</t>
  </si>
  <si>
    <t>DATA</t>
  </si>
  <si>
    <t>QTDE</t>
  </si>
  <si>
    <t>UNITÁRIO</t>
  </si>
  <si>
    <t>VALOR</t>
  </si>
  <si>
    <t>ENTRADA</t>
  </si>
  <si>
    <t>SAIDA</t>
  </si>
  <si>
    <t>SALDO</t>
  </si>
  <si>
    <t>– Recebimento de duplicata através de depósito bancário no valor de R$ 5.000,00 com juros de 10% pelo atraso;</t>
  </si>
  <si>
    <t>– Compra a prazo de mercadorias para o estoque no valor de R$ 80.000,00 conforme NF nº 110 do FORNECEDOR DE BELO HORIZONTE, dividido em seis parcelas com a primeira para trinta dias;</t>
  </si>
  <si>
    <t>– Venda a prazo de mercadorias no valor de R$ 60.000,00 conforme NF nº 001 emitida para a empresa CLIENTE INTERNO, dividido em quatro parcelas com a primeira para trinta dias;</t>
  </si>
  <si>
    <t>BEM IMOBILIZADO</t>
  </si>
  <si>
    <t>Mesas e Cadeiras</t>
  </si>
  <si>
    <t>DATA DE AQUISIÇÃO</t>
  </si>
  <si>
    <t>VALOR CONTÁBIL</t>
  </si>
  <si>
    <t>VALOR RESIDUAL</t>
  </si>
  <si>
    <t>BASE DEPRECIAÇÃO</t>
  </si>
  <si>
    <t>% a.a.</t>
  </si>
  <si>
    <t>% a.m.</t>
  </si>
  <si>
    <t>DEPRECIAÇÃO ANUAL</t>
  </si>
  <si>
    <t>DEPRECIAÇÃO MENSAL</t>
  </si>
  <si>
    <t>DEPRECIAÇÃO ACUMULADA</t>
  </si>
  <si>
    <t>VALOR LÍQUIDO CONTÁBIL</t>
  </si>
  <si>
    <t>33.</t>
  </si>
  <si>
    <t>34.</t>
  </si>
  <si>
    <t>35.</t>
  </si>
  <si>
    <t>36.</t>
  </si>
  <si>
    <t>37.</t>
  </si>
  <si>
    <t>38.</t>
  </si>
  <si>
    <t>– Pagamento de FGTS no valor de R$ 320,00 conforme GRF paga na conta da empresa.</t>
  </si>
  <si>
    <t>39.</t>
  </si>
  <si>
    <t>– Prestação de Serviço a prazo no valor de R$ 5.000,00, com recebimento para trinta dias, conforme NFS nº 003 para o CLIENTE PRIVADO;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</si>
  <si>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</si>
  <si>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</si>
  <si>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</si>
  <si>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</si>
  <si>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</si>
  <si>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</si>
  <si>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</si>
  <si>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</si>
  <si>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</si>
  <si>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</si>
  <si>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</si>
  <si>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</si>
  <si>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</si>
  <si>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1/48 AVOS</t>
  </si>
  <si>
    <t>Nome:</t>
  </si>
  <si>
    <t>EMPRESA TESTE LTDA</t>
  </si>
  <si>
    <t>Agência/Conta:</t>
  </si>
  <si>
    <t>0195/ 32284-7</t>
  </si>
  <si>
    <t>Data:</t>
  </si>
  <si>
    <t>Horário:</t>
  </si>
  <si>
    <t>18:45:43h</t>
  </si>
  <si>
    <t>Extrato de Conta Corrente</t>
  </si>
  <si>
    <t>Data</t>
  </si>
  <si>
    <t>Lançamento</t>
  </si>
  <si>
    <t>Valor (R$)</t>
  </si>
  <si>
    <t>Saldo (R$)</t>
  </si>
  <si>
    <t>SALDO ANTERIOR</t>
  </si>
  <si>
    <t>TRANSFERÊNCIA RECEBIDA</t>
  </si>
  <si>
    <t>SAQUE CX ELETRÔNICO TERM002</t>
  </si>
  <si>
    <t>TED - FAVORECIDO 23.080.999/0001-02</t>
  </si>
  <si>
    <t>SALDO DO DIA</t>
  </si>
  <si>
    <t>INT PAG TIT BANCO 001</t>
  </si>
  <si>
    <t>18:52:36h</t>
  </si>
  <si>
    <t>18:21:18h</t>
  </si>
  <si>
    <t>INT PAG TIT BANCO 248</t>
  </si>
  <si>
    <t>INT PAG TIT BANCO 005</t>
  </si>
  <si>
    <t>TIT PREVIDÊNCIA SOCIAL</t>
  </si>
  <si>
    <t>PGTO TIT CEF</t>
  </si>
  <si>
    <t>INT PAG TIT BANCO 041</t>
  </si>
  <si>
    <t>TED SISPAG SALÁRIOS</t>
  </si>
  <si>
    <t>PGTO TIT NEO ENERG</t>
  </si>
  <si>
    <t>PGTO DARF RFB</t>
  </si>
  <si>
    <t>– Provisão da folha de pagamento de salários referente a competência outubro, sendo: Salários R$ 3.000,00; INSS retido R$ 240,00; Imposto de Renda Retido R$ 115,00;</t>
  </si>
  <si>
    <t>– Compra de mercadorias a prazo no valor de R$ 75.000,00 com vencimento para trinta dias, conforme NF nº 002 do FORNECEDOR DE FORTALEZA;</t>
  </si>
  <si>
    <t>- Aquisição a vista de ar condiconado no valor de R$ 5.000,00 conforme NF nº 211 da empresa FORNECEDOR DE DE MANAUS;</t>
  </si>
  <si>
    <t>– Venda de mercadorias a prazo no valor de R$ 90.000,00, sendo três parcelas com o vencimento da primeira em trinta dias, conforme NF nº 002 para o CLIENTE DE GOIÂNIA;</t>
  </si>
  <si>
    <t>– Prestação de Serviço a prazo no valor de R$ 5.000,00, com recebimento para trinta dias, conforme NFS nº 002 para o CLIENTE PÚBLICO;</t>
  </si>
  <si>
    <t>– Compra de mercadorias a prazo no valor de R$ 45.000,00 com vencimento para trinta dias, conforme NF nº 050 do FORNECEDOR DO RIO DE JANEIRO;</t>
  </si>
  <si>
    <t>– Venda de mercadorias a prazo no valor de R$ 51.000,00, conforme NF nº 003 para o CLIENTE DE BRASÍLIA, dividido em cinco parcelas com recebimento da primeira em 30 dias;</t>
  </si>
  <si>
    <t>– Pagamento de salários referente a folha de pagamento de outubro R$ 2.645,00, conforme transferência bancária para a conta do funcionário;</t>
  </si>
  <si>
    <t>– Pagamento de salários referente a folha de pagamento de novembro R$ 3.415,00 conforme  transferência bancária para a conta do funcionário;</t>
  </si>
  <si>
    <t>– Pagamento de IRRF sobre a folha de salários no valor de R$ 115,00 com juros de R$ 15,00 referente a competência outubro;</t>
  </si>
  <si>
    <t>10/10</t>
  </si>
  <si>
    <t>15/10</t>
  </si>
  <si>
    <t>30/10</t>
  </si>
  <si>
    <t>31/10</t>
  </si>
  <si>
    <t>TAR PACOTE CONTA PJ MENS OUT22</t>
  </si>
  <si>
    <t>01/11</t>
  </si>
  <si>
    <t>05/11</t>
  </si>
  <si>
    <t>10/11</t>
  </si>
  <si>
    <t>15/11</t>
  </si>
  <si>
    <t>20/11</t>
  </si>
  <si>
    <t>INT PAG DARF RFB 3208</t>
  </si>
  <si>
    <t>24/11</t>
  </si>
  <si>
    <t>30/11</t>
  </si>
  <si>
    <t>TAR PACOTE CONTA PJ MENS NOV22</t>
  </si>
  <si>
    <t>31/12/2022</t>
  </si>
  <si>
    <t>01/12</t>
  </si>
  <si>
    <t>05/12</t>
  </si>
  <si>
    <t>07/12</t>
  </si>
  <si>
    <t>15/12</t>
  </si>
  <si>
    <t>20/12</t>
  </si>
  <si>
    <t>31/12</t>
  </si>
  <si>
    <t>OUT</t>
  </si>
  <si>
    <t>NOV</t>
  </si>
  <si>
    <t>DEZ</t>
  </si>
  <si>
    <r>
      <t xml:space="preserve">OBS: </t>
    </r>
    <r>
      <rPr>
        <sz val="11"/>
        <color theme="1"/>
        <rFont val="Century Gothic"/>
        <family val="2"/>
      </rPr>
      <t>O método de avalição será a</t>
    </r>
    <r>
      <rPr>
        <b/>
        <sz val="11"/>
        <color theme="1"/>
        <rFont val="Century Gothic"/>
        <family val="2"/>
      </rPr>
      <t xml:space="preserve"> PEPS</t>
    </r>
  </si>
  <si>
    <t>Produto 001</t>
  </si>
  <si>
    <t>PROJETOR 4K</t>
  </si>
  <si>
    <t>Produto 002</t>
  </si>
  <si>
    <t>HOME THEATER</t>
  </si>
  <si>
    <t>Produto 003</t>
  </si>
  <si>
    <t>Produto 004</t>
  </si>
  <si>
    <t>IMPRESSORA SCANNER</t>
  </si>
  <si>
    <t>NOTEBOOK DELL 15'</t>
  </si>
  <si>
    <t>Produto 005</t>
  </si>
  <si>
    <t>Produto 006</t>
  </si>
  <si>
    <t>TV LED 65'</t>
  </si>
  <si>
    <t>INTERFONES</t>
  </si>
  <si>
    <t>CMV</t>
  </si>
  <si>
    <t>Outubro</t>
  </si>
  <si>
    <t>Novembro</t>
  </si>
  <si>
    <t>Dezembro</t>
  </si>
  <si>
    <t>– Venda a prazo de mercadorias no valor de R$ 60.000,00 conforme NF nº 001 emitida para a empresa CLIENTE INTERNO, dividido em duas parcelas com a primeira para trinta dias;</t>
  </si>
  <si>
    <t>– Compra a prazo de mercadorias para o estoque no valor de R$ 80.000,00 conforme NF nº 110 do FORNECEDOR BELO HORIZONTE, dividido em seis parcelas com a primeira para trinta dias;</t>
  </si>
  <si>
    <t>– Provisão do INSS Patronal da folha de outubro;</t>
  </si>
  <si>
    <t>– Provisão dos Tributos Indiretos referente a competência outubro:  ISS, ICMS, PIS e COFINS;</t>
  </si>
  <si>
    <t>– Apropriação dos Tributos Indiretos referente a competência outubro: ICMS;</t>
  </si>
  <si>
    <t>– Apropriação da despesa mensal com aluguel no valor previsto em contrato referente a competência outubro;</t>
  </si>
  <si>
    <t>– Aquisição a vista de ar condiconado no valor de R$ 5.000,00 conforme NF nº 211 da empresa FORNECEDOR DE MANAUS;</t>
  </si>
  <si>
    <t>– Prestação de Serviço a prazo no valor de R$ 5.000,00, com recebimento para trinta dias, conforme NFS nº 002 para o CLIENTE PUBLICO;</t>
  </si>
  <si>
    <t>– Pagamento de INSS no valor de R$ 1.074,00 conforme GPS paga na conta corrente da empresa;</t>
  </si>
  <si>
    <t>– Provisão da folha de pagamento de salários referente a competência novembro, sendo: Salários R$ 3.000,00; Hora-Extra R$ 700,00; DSR R$ 300,00; INSS retido R$ 320,00; Imposto de Renda Retido R$ 265,00;</t>
  </si>
  <si>
    <t>– Apropriação dos Tributos Indiretos referente a competência novembro: ICMS;</t>
  </si>
  <si>
    <t>– Provisão dos Tributos Indiretos referente a competência novembro: ISS, ICMS, PIS e COFINS;</t>
  </si>
  <si>
    <t>– Compra de mercadorias a prazo no valor de R$ 45.000,00 com vencimento para trinta dias, conforme NF nº 050 do FORNECEDOR DE RIO DE JANEIRO;</t>
  </si>
  <si>
    <t>– Venda de mercadorias a prazo no valor de R$ 51.000,00, conforme NF nº 003 para o CLIENTE DE BRASÍLIA, com recebimento da primeira em 30 dias;</t>
  </si>
  <si>
    <t>– Provisão da folha de pagamento de salários referente a competência dezembro, sendo: Salários R$ 3.000,00; Hora-Extra R$ 750,00; DSR R$ 250,00; INSS retido R$ 320,00; Imposto de Renda Retido R$ 265,00;</t>
  </si>
  <si>
    <t>– Pagamento de R$ 320,00 referente ao INSS descontado do empregado, conforme GPS paga com autenticação bancária;</t>
  </si>
  <si>
    <t>– Apropriação dos Tributos Indiretos referente a competência dezembro: ICMS;</t>
  </si>
  <si>
    <t>– Provisão dos Tributos Indiretos referente a competência dezembro: ISS, ICMS, PIS e COFINS;</t>
  </si>
  <si>
    <t>2.1.3.08</t>
  </si>
  <si>
    <t>IRRF Sobre Aluguel a Recolher</t>
  </si>
  <si>
    <t>– Adiantamento de seis meses do Aluguel no valor de R$ 6.000,00 com a Retençaõ do IRRF sobre o aluguel da pessoa física no valor de R$ 780,64;</t>
  </si>
  <si>
    <t>Prestação de Serviços</t>
  </si>
  <si>
    <t>3.1.1.06</t>
  </si>
  <si>
    <t>3.1.1.07</t>
  </si>
  <si>
    <t>3.1.1.08</t>
  </si>
  <si>
    <t>(-) ISS</t>
  </si>
  <si>
    <t>(-) ICMS</t>
  </si>
  <si>
    <t>(-) PIS</t>
  </si>
  <si>
    <t>(-) COFINS</t>
  </si>
  <si>
    <t>Custo do Produto Vendido</t>
  </si>
  <si>
    <t>Custo da Mercadoria Vendida</t>
  </si>
  <si>
    <t>Custo do Serviço Prestado</t>
  </si>
  <si>
    <t>Aluguel</t>
  </si>
  <si>
    <t>Energia</t>
  </si>
  <si>
    <t>3.2.2.04</t>
  </si>
  <si>
    <t>Água e Esgoto</t>
  </si>
  <si>
    <t>3.2.5</t>
  </si>
  <si>
    <t>3.2.5.01</t>
  </si>
  <si>
    <t>3.2.5.02</t>
  </si>
  <si>
    <t>3.2.5.03</t>
  </si>
  <si>
    <t>Salários</t>
  </si>
  <si>
    <t>INSS</t>
  </si>
  <si>
    <t>3.2.3.03</t>
  </si>
  <si>
    <t>FGTS</t>
  </si>
  <si>
    <t>Crédito de ICMS</t>
  </si>
  <si>
    <t>OUTUBRO</t>
  </si>
  <si>
    <t>NOVEMBRO</t>
  </si>
  <si>
    <t>DEZEMBRO</t>
  </si>
  <si>
    <t>53.</t>
  </si>
  <si>
    <t>Tarifas Bancárias</t>
  </si>
  <si>
    <t>– Apropriação de despesa com tarifa bancária;</t>
  </si>
  <si>
    <t>CAIXA</t>
  </si>
  <si>
    <t>BANCO</t>
  </si>
  <si>
    <t>CLIENTES</t>
  </si>
  <si>
    <t>MERCADORIAS</t>
  </si>
  <si>
    <t>ICMS A RECUPERAR</t>
  </si>
  <si>
    <t>ALUGUEL A VENCER</t>
  </si>
  <si>
    <t>MÓVEIS E UTENSÍLIOS</t>
  </si>
  <si>
    <t>FORNECEDORES</t>
  </si>
  <si>
    <t>SALÁRIOS A PAGAR</t>
  </si>
  <si>
    <t>INSS A RECOLHER</t>
  </si>
  <si>
    <t>IRRF S/ ALGUEL A RECOLHER</t>
  </si>
  <si>
    <t>IRRF S/ SALÁRIOS A REC</t>
  </si>
  <si>
    <t>FGTS A PAGAR</t>
  </si>
  <si>
    <t>ISS A PAGAR</t>
  </si>
  <si>
    <t>ICMS A PAGAR</t>
  </si>
  <si>
    <t>PIS A PAGAR</t>
  </si>
  <si>
    <t>COFINS A PAGAR</t>
  </si>
  <si>
    <t>IRPJ A PAGAR</t>
  </si>
  <si>
    <t>CSLL A PAGAR</t>
  </si>
  <si>
    <t>(-) CAPITAL A INTEGRALIZAR</t>
  </si>
  <si>
    <t>CAPITAL SUBSCRITO</t>
  </si>
  <si>
    <t>LUCRO ACUMULADO</t>
  </si>
  <si>
    <t>ALUGUEL A PAGAR</t>
  </si>
  <si>
    <t>VENDA DE MERCADORIAS</t>
  </si>
  <si>
    <t>PRESTAÇÃO DE SERVIÇOS</t>
  </si>
  <si>
    <t>SALÁRIOS</t>
  </si>
  <si>
    <t>ISS</t>
  </si>
  <si>
    <t>ICMS</t>
  </si>
  <si>
    <t>PIS</t>
  </si>
  <si>
    <t>COFINS</t>
  </si>
  <si>
    <t>TARIFAS BANCÁRIAS</t>
  </si>
  <si>
    <t>Internet</t>
  </si>
  <si>
    <t>3.2.2.05</t>
  </si>
  <si>
    <t>Depreciação</t>
  </si>
  <si>
    <t>54.</t>
  </si>
  <si>
    <t>– Provisão do INSS PATRONAL sobre os salários provisionados no valor de R$ 1.112,00;</t>
  </si>
  <si>
    <t>55.</t>
  </si>
  <si>
    <t>– Pagamento de IRRF s/ aluguel provisionado no valor de R$ 780,64;</t>
  </si>
  <si>
    <t>56.</t>
  </si>
  <si>
    <t>ARE</t>
  </si>
  <si>
    <t>– Pagamento de salários referente a folha de pagamento denovembro R$ 3.415,00, conforme transferência bancária para a conta do funcionário;</t>
  </si>
  <si>
    <t>Disponível</t>
  </si>
  <si>
    <t>Créditos</t>
  </si>
  <si>
    <t>1.1.4.05</t>
  </si>
  <si>
    <t>1.1.4.06</t>
  </si>
  <si>
    <t>1.1.4.07</t>
  </si>
  <si>
    <t>1.1.4.08</t>
  </si>
  <si>
    <t>IRRF a Recuperar</t>
  </si>
  <si>
    <t>COFINS a Recuperar</t>
  </si>
  <si>
    <t>PIS a Recuperar</t>
  </si>
  <si>
    <t>1.1.4.09</t>
  </si>
  <si>
    <t>57.</t>
  </si>
  <si>
    <t>58.</t>
  </si>
  <si>
    <t>AV %</t>
  </si>
  <si>
    <t>RESULTADO LÍQUIDO</t>
  </si>
  <si>
    <t>MÁQ. E EQUIPAM.</t>
  </si>
  <si>
    <t>ALUGUEL</t>
  </si>
  <si>
    <t>ISS a Recolher</t>
  </si>
  <si>
    <t>(-) DEPRECIAÇÃO</t>
  </si>
  <si>
    <t>DEPRECIAÇÃO</t>
  </si>
  <si>
    <t>INTERNET</t>
  </si>
  <si>
    <t>ENERGIA</t>
  </si>
  <si>
    <t>ÁGUA E ESGOTO</t>
  </si>
  <si>
    <t>JUROS PASSIVOS</t>
  </si>
  <si>
    <t>IRRF A RECUPERAR</t>
  </si>
  <si>
    <t>CSLL A RECUPERAR</t>
  </si>
  <si>
    <t>PIS A RECUPERAR</t>
  </si>
  <si>
    <t>COFINS A RECUPERAR</t>
  </si>
  <si>
    <t>ISS A RECUPERAR</t>
  </si>
  <si>
    <t>JUROS ATIVOS</t>
  </si>
  <si>
    <t>59.</t>
  </si>
  <si>
    <t>60.</t>
  </si>
  <si>
    <t>Despesas Tributárias</t>
  </si>
  <si>
    <t>IRPJ</t>
  </si>
  <si>
    <t>CSLL</t>
  </si>
  <si>
    <t>Outras Despesas Tributárias</t>
  </si>
  <si>
    <t>– Provisão dos Tributos Diretos ref ao trimestre;</t>
  </si>
  <si>
    <t>61.</t>
  </si>
  <si>
    <t>– Apropriação dos créditos de Tributos Indiretos referente a competência dezembro: ISS;</t>
  </si>
  <si>
    <t>– Provisão do INSS Patronal ref a compet. Dezembro;</t>
  </si>
  <si>
    <t>– Apropriação dos créditos de  Tributos diretos referente a competência dezembro: IRRF;</t>
  </si>
  <si>
    <t>62.</t>
  </si>
  <si>
    <t>– Apropriação do CMV;</t>
  </si>
  <si>
    <t>2023</t>
  </si>
  <si>
    <t>2022</t>
  </si>
  <si>
    <t>AH %</t>
  </si>
  <si>
    <r>
      <rPr>
        <sz val="14"/>
        <color theme="1"/>
        <rFont val="Century Gothic"/>
        <family val="2"/>
      </rPr>
      <t xml:space="preserve">senha: </t>
    </r>
    <r>
      <rPr>
        <b/>
        <sz val="14"/>
        <color theme="1"/>
        <rFont val="Century Gothic"/>
        <family val="2"/>
      </rPr>
      <t>CRC</t>
    </r>
  </si>
  <si>
    <t>TRIMESTRE</t>
  </si>
  <si>
    <t>Base do CSLL</t>
  </si>
  <si>
    <t>O FATO GERADOR DO CRÉDITO DA RETENÇÃO É O PAGAMENTO</t>
  </si>
  <si>
    <t>0000</t>
  </si>
  <si>
    <t>A</t>
  </si>
  <si>
    <t>0001</t>
  </si>
  <si>
    <t>0005</t>
  </si>
  <si>
    <t>SGAN 613</t>
  </si>
  <si>
    <t>ASA NORTE</t>
  </si>
  <si>
    <t>0100</t>
  </si>
  <si>
    <t>CONTADOR PERFEITO</t>
  </si>
  <si>
    <t>DF123456</t>
  </si>
  <si>
    <t>CONTADOR@EMAIL.COM</t>
  </si>
  <si>
    <t>0150</t>
  </si>
  <si>
    <t>FORNECEDOR EXTERNO MINAS LTDA</t>
  </si>
  <si>
    <t>RUA DIAS ADORNO</t>
  </si>
  <si>
    <t>SANTO AGOSTINHO</t>
  </si>
  <si>
    <t>CLIENTE INTERNO LTDA</t>
  </si>
  <si>
    <t>CRS QD 512 BLOCO C LOJA</t>
  </si>
  <si>
    <t>ASA SUL</t>
  </si>
  <si>
    <t>0190</t>
  </si>
  <si>
    <t>UND</t>
  </si>
  <si>
    <t>0200</t>
  </si>
  <si>
    <t>0990</t>
  </si>
  <si>
    <t>B001</t>
  </si>
  <si>
    <t>B020</t>
  </si>
  <si>
    <t>B025</t>
  </si>
  <si>
    <t>B420</t>
  </si>
  <si>
    <t>B470</t>
  </si>
  <si>
    <t>B990</t>
  </si>
  <si>
    <t>C001</t>
  </si>
  <si>
    <t>C100</t>
  </si>
  <si>
    <t>C170</t>
  </si>
  <si>
    <t>C190</t>
  </si>
  <si>
    <t>C990</t>
  </si>
  <si>
    <t>D001</t>
  </si>
  <si>
    <t>D990</t>
  </si>
  <si>
    <t>E001</t>
  </si>
  <si>
    <t>E100</t>
  </si>
  <si>
    <t>E110</t>
  </si>
  <si>
    <t>E116</t>
  </si>
  <si>
    <t>E990</t>
  </si>
  <si>
    <t>G001</t>
  </si>
  <si>
    <t>G990</t>
  </si>
  <si>
    <t>H001</t>
  </si>
  <si>
    <t>H990</t>
  </si>
  <si>
    <t>K001</t>
  </si>
  <si>
    <t>K990</t>
  </si>
  <si>
    <t>1001</t>
  </si>
  <si>
    <t>1010</t>
  </si>
  <si>
    <t>N</t>
  </si>
  <si>
    <t>1990</t>
  </si>
  <si>
    <t>9001</t>
  </si>
  <si>
    <t>9900</t>
  </si>
  <si>
    <t>9990</t>
  </si>
  <si>
    <t>9999</t>
  </si>
  <si>
    <t>campo 1</t>
  </si>
  <si>
    <t>campo 2</t>
  </si>
  <si>
    <t>campo 3</t>
  </si>
  <si>
    <t>campo 4</t>
  </si>
  <si>
    <t>campo 5</t>
  </si>
  <si>
    <t>campo 6</t>
  </si>
  <si>
    <t>campo 7</t>
  </si>
  <si>
    <t>campo 8</t>
  </si>
  <si>
    <t>campo 9</t>
  </si>
  <si>
    <t>campo 10</t>
  </si>
  <si>
    <t>campo 11</t>
  </si>
  <si>
    <t>campo 12</t>
  </si>
  <si>
    <t>campo 13</t>
  </si>
  <si>
    <t>campo 14</t>
  </si>
  <si>
    <t>campo 15</t>
  </si>
  <si>
    <t>campo 16</t>
  </si>
  <si>
    <t>campo 17</t>
  </si>
  <si>
    <t>campo 18</t>
  </si>
  <si>
    <t>campo 19</t>
  </si>
  <si>
    <t>campo 20</t>
  </si>
  <si>
    <t>campo 21</t>
  </si>
  <si>
    <t>campo 22</t>
  </si>
  <si>
    <t>campo 23</t>
  </si>
  <si>
    <t>campo 24</t>
  </si>
  <si>
    <t>campo 25</t>
  </si>
  <si>
    <t>campo 26</t>
  </si>
  <si>
    <t>campo 27</t>
  </si>
  <si>
    <t>campo 28</t>
  </si>
  <si>
    <t>campo 29</t>
  </si>
  <si>
    <t>campo 30</t>
  </si>
  <si>
    <t>campo 31</t>
  </si>
  <si>
    <t>campo 32</t>
  </si>
  <si>
    <t>campo 33</t>
  </si>
  <si>
    <t>campo 34</t>
  </si>
  <si>
    <t>campo 35</t>
  </si>
  <si>
    <t>NF entrada</t>
  </si>
  <si>
    <t>NF saída</t>
  </si>
  <si>
    <t>itens</t>
  </si>
  <si>
    <t>SERVIÇO DE MANUTENÇÃO</t>
  </si>
  <si>
    <t>3.1.1.1</t>
  </si>
  <si>
    <t>VENDAS DE MERCADORIAS</t>
  </si>
  <si>
    <t>3.1.1.2</t>
  </si>
  <si>
    <t>A001</t>
  </si>
  <si>
    <t>A010</t>
  </si>
  <si>
    <t>A100</t>
  </si>
  <si>
    <t>A170</t>
  </si>
  <si>
    <t>A990</t>
  </si>
  <si>
    <t>C010</t>
  </si>
  <si>
    <t>F001</t>
  </si>
  <si>
    <t>F990</t>
  </si>
  <si>
    <t>I001</t>
  </si>
  <si>
    <t>I990</t>
  </si>
  <si>
    <t>M001</t>
  </si>
  <si>
    <t>M200</t>
  </si>
  <si>
    <t>M205</t>
  </si>
  <si>
    <t>M210</t>
  </si>
  <si>
    <t>M600</t>
  </si>
  <si>
    <t>M605</t>
  </si>
  <si>
    <t>M610</t>
  </si>
  <si>
    <t>M990</t>
  </si>
  <si>
    <t>P001</t>
  </si>
  <si>
    <t>P990</t>
  </si>
  <si>
    <t>0110</t>
  </si>
  <si>
    <t>0140</t>
  </si>
  <si>
    <t>0500</t>
  </si>
  <si>
    <t>CRUZAMENTO</t>
  </si>
  <si>
    <t>CÓDIGO</t>
  </si>
  <si>
    <t>HOME TEATHER</t>
  </si>
  <si>
    <t>NF ENTRADA</t>
  </si>
  <si>
    <t>EFD ICMS IPI</t>
  </si>
  <si>
    <t>EFD ICMS IPI (0200)</t>
  </si>
  <si>
    <t>EFD CONTRIBUIÇÕES (0200)</t>
  </si>
  <si>
    <t>CADASTRO DE ITENS</t>
  </si>
  <si>
    <t>TRIBUTAÇÃO DO ICMS</t>
  </si>
  <si>
    <t>VALOR ITEM</t>
  </si>
  <si>
    <t>ALÍQUOTA ICMS</t>
  </si>
  <si>
    <t>BC ICMS</t>
  </si>
  <si>
    <t>VALOR ICMS</t>
  </si>
  <si>
    <t>NF SAÍDA</t>
  </si>
  <si>
    <t>ICMS SAIDA</t>
  </si>
  <si>
    <t>ICMS ENTRADA</t>
  </si>
  <si>
    <t>REGISTRO C170</t>
  </si>
  <si>
    <t>TRIBUTAÇÃO DO PIS COFINS</t>
  </si>
  <si>
    <t>ALIQ. PIS</t>
  </si>
  <si>
    <t>VALOR PIS</t>
  </si>
  <si>
    <t>ALIQ. COFINS</t>
  </si>
  <si>
    <t>VALOR COFINS</t>
  </si>
  <si>
    <t>SERVIÇO</t>
  </si>
  <si>
    <t>EFD CONTRIBUIÇÕES</t>
  </si>
  <si>
    <t>campo 36</t>
  </si>
  <si>
    <t>campo 37</t>
  </si>
  <si>
    <t>INDICES DE LIQUIDEZ</t>
  </si>
  <si>
    <t>LIQUIDEZ GERAL (AC+ANC / PC + PNC)</t>
  </si>
  <si>
    <t>LIQUIDEZ CORRENTE (AC / PC)</t>
  </si>
  <si>
    <t>LIQUIDEZ SECA (AC-ESTOQUE / PC)</t>
  </si>
  <si>
    <t>LIQUIDEZ IMEDIATA (DISPONIVEL / PC)</t>
  </si>
  <si>
    <t>Para cada 1,00 de dívida a empresa apresenta 0,83 de recursos excedentes</t>
  </si>
  <si>
    <t>Para cada 1,00 de dívida no curto prazo a empresa apresenta 0,80 de recursos excedentes</t>
  </si>
  <si>
    <t>Para cada 1,00 de dívida no curto prazo a empresa apresenta 0,26 de recursos excedentes</t>
  </si>
  <si>
    <t>Para cada 1,00 de dívida no curto prazo a empresa apresenta 0,49 de recursos faltantes</t>
  </si>
  <si>
    <t>INDICES DE ENDIVIDAMENTO</t>
  </si>
  <si>
    <t>PART. TERC. (PC+PNC / PL)</t>
  </si>
  <si>
    <t>ENDIVIDAMENTO TOTAL (PC + PNC /PC+PNC +PL)</t>
  </si>
  <si>
    <t>ENDIVIDAMENTO CURTO (PC /PC+PNC)</t>
  </si>
  <si>
    <t>A participação dos terceiros na dívida da empresa é de 2,29</t>
  </si>
  <si>
    <t>A participação dos terceiros na dívida da empresa é de 0,55</t>
  </si>
  <si>
    <t>A participação dos terceiros na dívida da empresa é de 1,00</t>
  </si>
  <si>
    <t>QUANTO MAIOR, MELHOR</t>
  </si>
  <si>
    <t>QUANTO MENOR, MELHOR</t>
  </si>
  <si>
    <t>MARGEM BRUTA</t>
  </si>
  <si>
    <t>(RB/LL)</t>
  </si>
  <si>
    <t>MARGEM LIQUIDA</t>
  </si>
  <si>
    <t>(RL/LL)</t>
  </si>
  <si>
    <t>BALANÇO PATRIMONIAL</t>
  </si>
  <si>
    <t>CONTA</t>
  </si>
  <si>
    <t>Ativo</t>
  </si>
  <si>
    <t>Circulante</t>
  </si>
  <si>
    <t>(a) caixa e bancos</t>
  </si>
  <si>
    <t>(b) aplicações financeiras</t>
  </si>
  <si>
    <t>(c) Contas a receber e outros recebíveis</t>
  </si>
  <si>
    <t>(e) despesas antecipadas</t>
  </si>
  <si>
    <t>(f) tributos a recuperar</t>
  </si>
  <si>
    <t>(d) estoques</t>
  </si>
  <si>
    <t>Não Circulante</t>
  </si>
  <si>
    <t>NBC TG</t>
  </si>
  <si>
    <t>Passivo</t>
  </si>
  <si>
    <t>(m) provisões;</t>
  </si>
  <si>
    <t>Patrimônio Líquido</t>
  </si>
  <si>
    <t>(g) investimentos societários</t>
  </si>
  <si>
    <t>(h) ativo imobilizado</t>
  </si>
  <si>
    <t>(i) ativos intangíveis</t>
  </si>
  <si>
    <t>(j) fornecedores e outras contas a pagar</t>
  </si>
  <si>
    <t>(k) tributos a recolher ou pagar</t>
  </si>
  <si>
    <t>(l) empréstimos e financiamentos</t>
  </si>
  <si>
    <t>(n) capital social</t>
  </si>
  <si>
    <t>(o) reservas de capital</t>
  </si>
  <si>
    <t>(p) reservas de lucros</t>
  </si>
  <si>
    <t>(q) lucros ou prejuízos acumulados.</t>
  </si>
  <si>
    <t>Receitas</t>
  </si>
  <si>
    <t>(a) receita bruta</t>
  </si>
  <si>
    <t>(b) deduções à receita bruta</t>
  </si>
  <si>
    <t>(c) receita líquida</t>
  </si>
  <si>
    <t>(d) custo dos produtos, das mercadorias vendidas ou dos serviços prestados</t>
  </si>
  <si>
    <t>(e) resultado (lucro ou prejuízo) bruto</t>
  </si>
  <si>
    <t>(f) despesas com vendas</t>
  </si>
  <si>
    <t>Despesas</t>
  </si>
  <si>
    <t>(g) despesas administrativas</t>
  </si>
  <si>
    <t>(h) outras despesas e receitas operacionais</t>
  </si>
  <si>
    <t>(i) resultado antes das receitas e despesas financeiras</t>
  </si>
  <si>
    <t>(j) receitas financeiras</t>
  </si>
  <si>
    <t>(k) despesas financeiras</t>
  </si>
  <si>
    <t>(l) resultado antes dos tributos sobre o lucro</t>
  </si>
  <si>
    <t>(m) tributos sobre o lucro</t>
  </si>
  <si>
    <t>(n) resultado líquido do exercício</t>
  </si>
  <si>
    <t>Custos</t>
  </si>
  <si>
    <t>Resultado</t>
  </si>
  <si>
    <t>LUCRO CONTÁBIL</t>
  </si>
  <si>
    <t>CONTABILIDADE MODERNA</t>
  </si>
  <si>
    <t>ORIENTAL</t>
  </si>
  <si>
    <t>POR LEIS</t>
  </si>
  <si>
    <t>OCIDENTAL</t>
  </si>
  <si>
    <t>POR PRINCÍPIOS</t>
  </si>
  <si>
    <t>ESTADOS UNIDOS</t>
  </si>
  <si>
    <t>FASB</t>
  </si>
  <si>
    <t>USGAAP</t>
  </si>
  <si>
    <t>BRASIL</t>
  </si>
  <si>
    <t>DL 2627</t>
  </si>
  <si>
    <t>BRGAAP</t>
  </si>
  <si>
    <t>IAS</t>
  </si>
  <si>
    <t>10 PAÍSES EM LONDRES</t>
  </si>
  <si>
    <t>LEI 6404</t>
  </si>
  <si>
    <t>S/As</t>
  </si>
  <si>
    <t>LEI 6385</t>
  </si>
  <si>
    <t>CVM</t>
  </si>
  <si>
    <t>81 PAÍSES EM LONDRES</t>
  </si>
  <si>
    <t>IASB</t>
  </si>
  <si>
    <t>IFRS</t>
  </si>
  <si>
    <t>RTT- REGIME TRIBUTÁRIO TRANSITÓRIO</t>
  </si>
  <si>
    <t>CPC</t>
  </si>
  <si>
    <t>NBC</t>
  </si>
  <si>
    <t>ITG</t>
  </si>
  <si>
    <t>OTG</t>
  </si>
  <si>
    <t>CTG</t>
  </si>
  <si>
    <t>LEI 11638</t>
  </si>
  <si>
    <t>PRINCÍPIOS</t>
  </si>
  <si>
    <t>DIFERIDO</t>
  </si>
  <si>
    <t>REF</t>
  </si>
  <si>
    <t>INTANGÍVEL</t>
  </si>
  <si>
    <t>RTT</t>
  </si>
  <si>
    <t>LEI 11941</t>
  </si>
  <si>
    <t>LEI 12973</t>
  </si>
  <si>
    <t>FCONT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</si>
</sst>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0;[Red]&quot;-&quot;\ #,##0.00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b/>
      <sz val="11"/>
      <color rgb="FFFF0000"/>
      <name val="Arial Unicode MS"/>
      <family val="2"/>
    </font>
    <font>
      <b/>
      <sz val="11"/>
      <color theme="0"/>
      <name val="Arial Unicode MS"/>
      <family val="2"/>
    </font>
    <font>
      <i/>
      <sz val="11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12"/>
      <color theme="1"/>
      <name val="Arial Unicode MS"/>
      <family val="2"/>
    </font>
    <font>
      <sz val="10"/>
      <color theme="1"/>
      <name val="Arial Unicode MS"/>
      <family val="2"/>
    </font>
    <font>
      <sz val="11"/>
      <color rgb="FFC00000"/>
      <name val="Arial Unicode MS"/>
      <family val="2"/>
    </font>
    <font>
      <b/>
      <sz val="12"/>
      <color theme="0"/>
      <name val="Arial Unicode MS"/>
      <family val="2"/>
    </font>
    <font>
      <sz val="11"/>
      <color theme="1"/>
      <name val="Calibri"/>
      <family val="2"/>
      <scheme val="minor"/>
    </font>
    <font>
      <sz val="14"/>
      <color rgb="FF002060"/>
      <name val="Century Gothic"/>
      <family val="2"/>
    </font>
    <font>
      <b/>
      <sz val="14"/>
      <name val="Century Gothic"/>
      <family val="2"/>
    </font>
    <font>
      <b/>
      <sz val="14"/>
      <color rgb="FFC00000"/>
      <name val="Century Gothic"/>
      <family val="2"/>
    </font>
    <font>
      <b/>
      <sz val="14"/>
      <color theme="0"/>
      <name val="Century Gothic"/>
      <family val="2"/>
    </font>
    <font>
      <sz val="14"/>
      <color theme="1"/>
      <name val="Century Gothic"/>
      <family val="2"/>
    </font>
    <font>
      <sz val="14"/>
      <color rgb="FFC00000"/>
      <name val="Century Gothic"/>
      <family val="2"/>
    </font>
    <font>
      <b/>
      <sz val="48"/>
      <color theme="1"/>
      <name val="Hackney Vector"/>
    </font>
    <font>
      <b/>
      <sz val="18"/>
      <color theme="1"/>
      <name val="Letters for Learners"/>
    </font>
    <font>
      <sz val="26"/>
      <color theme="0"/>
      <name val="Hackney Vector"/>
    </font>
    <font>
      <sz val="16"/>
      <color rgb="FFC00000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color theme="0"/>
      <name val="Hackney Vector"/>
    </font>
    <font>
      <b/>
      <sz val="24"/>
      <color theme="0"/>
      <name val="Hackney Vector"/>
    </font>
    <font>
      <sz val="16"/>
      <color theme="1"/>
      <name val="Century Gothic"/>
      <family val="2"/>
    </font>
    <font>
      <sz val="12"/>
      <color theme="1"/>
      <name val="Century Gothic"/>
      <family val="2"/>
    </font>
    <font>
      <sz val="22"/>
      <color theme="0"/>
      <name val="Hackney Vector"/>
    </font>
    <font>
      <b/>
      <sz val="16"/>
      <color theme="1"/>
      <name val="Century Gothic"/>
      <family val="2"/>
    </font>
    <font>
      <sz val="16"/>
      <color rgb="FF002060"/>
      <name val="Century Gothic"/>
      <family val="2"/>
    </font>
    <font>
      <sz val="8"/>
      <name val="Calibri"/>
      <family val="2"/>
      <scheme val="minor"/>
    </font>
    <font>
      <sz val="15"/>
      <color theme="1"/>
      <name val="Century Gothic"/>
      <family val="2"/>
    </font>
    <font>
      <b/>
      <sz val="15"/>
      <color theme="1"/>
      <name val="Century Gothic"/>
      <family val="2"/>
    </font>
    <font>
      <sz val="15"/>
      <color rgb="FF002060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rgb="FF002060"/>
      <name val="Century Gothic"/>
      <family val="2"/>
    </font>
    <font>
      <b/>
      <sz val="22"/>
      <name val="Hackney Vector"/>
    </font>
    <font>
      <b/>
      <sz val="12"/>
      <color rgb="FFFF0000"/>
      <name val="Century Gothic"/>
      <family val="2"/>
    </font>
    <font>
      <b/>
      <sz val="12"/>
      <color theme="0"/>
      <name val="Century Gothic"/>
      <family val="2"/>
    </font>
    <font>
      <b/>
      <sz val="12"/>
      <name val="Century Gothic"/>
      <family val="2"/>
    </font>
    <font>
      <sz val="12"/>
      <color theme="0"/>
      <name val="Century Gothic"/>
      <family val="2"/>
    </font>
    <font>
      <sz val="10"/>
      <color rgb="FFFF0000"/>
      <name val="Century Gothic"/>
      <family val="2"/>
    </font>
    <font>
      <b/>
      <sz val="10"/>
      <color rgb="FFFF0000"/>
      <name val="Century Gothic"/>
      <family val="2"/>
    </font>
    <font>
      <b/>
      <sz val="10"/>
      <color theme="0"/>
      <name val="Century Gothic"/>
      <family val="2"/>
    </font>
    <font>
      <sz val="10"/>
      <color rgb="FF0070C0"/>
      <name val="Century Gothic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Letters for Learners"/>
    </font>
    <font>
      <b/>
      <sz val="16"/>
      <color theme="1"/>
      <name val="Letters for Learners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rgb="FF000000"/>
      <name val="Verdana"/>
      <family val="2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Hackney Vector"/>
    </font>
    <font>
      <sz val="11"/>
      <color theme="1"/>
      <name val="Century Gothic"/>
      <family val="2"/>
    </font>
    <font>
      <b/>
      <sz val="16"/>
      <name val="Century Gothic"/>
      <family val="2"/>
    </font>
    <font>
      <sz val="11"/>
      <color theme="0"/>
      <name val="Arial Unicode MS"/>
      <family val="2"/>
    </font>
    <font>
      <sz val="14"/>
      <color theme="1"/>
      <name val="Arial Nova Cond"/>
      <family val="2"/>
    </font>
    <font>
      <b/>
      <sz val="14"/>
      <color theme="1"/>
      <name val="Arial Nova Cond"/>
      <family val="2"/>
    </font>
    <font>
      <b/>
      <sz val="14"/>
      <color theme="0"/>
      <name val="Arial Nova Cond"/>
      <family val="2"/>
    </font>
    <font>
      <i/>
      <sz val="14"/>
      <color theme="1"/>
      <name val="Arial Nova Cond"/>
      <family val="2"/>
    </font>
    <font>
      <sz val="14"/>
      <color theme="0"/>
      <name val="Arial Nova Cond"/>
      <family val="2"/>
    </font>
    <font>
      <sz val="14"/>
      <name val="Arial Nova Cond"/>
      <family val="2"/>
    </font>
    <font>
      <b/>
      <sz val="14"/>
      <name val="Arial Nova Cond"/>
      <family val="2"/>
    </font>
    <font>
      <b/>
      <sz val="10"/>
      <color rgb="FF0070C0"/>
      <name val="Century Gothic"/>
      <family val="2"/>
    </font>
    <font>
      <b/>
      <sz val="12"/>
      <color theme="0"/>
      <name val="Arial Nova Cond"/>
      <family val="2"/>
    </font>
    <font>
      <sz val="12"/>
      <color theme="1"/>
      <name val="Arial Nova Cond"/>
      <family val="2"/>
    </font>
    <font>
      <b/>
      <sz val="12"/>
      <color theme="1"/>
      <name val="Arial Nova Cond"/>
      <family val="2"/>
    </font>
    <font>
      <b/>
      <sz val="11"/>
      <color theme="1"/>
      <name val="Draft B"/>
      <family val="2"/>
    </font>
    <font>
      <b/>
      <sz val="15"/>
      <color theme="0"/>
      <name val="Century Gothic"/>
      <family val="2"/>
    </font>
    <font>
      <sz val="12"/>
      <color rgb="FFC00000"/>
      <name val="Century Gothic"/>
      <family val="2"/>
    </font>
    <font>
      <sz val="14"/>
      <color rgb="FFC00000"/>
      <name val="Arial Nova Cond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C00000"/>
      <name val="Arial Nova Cond"/>
      <family val="2"/>
    </font>
    <font>
      <b/>
      <sz val="18"/>
      <color theme="0"/>
      <name val="Century Gothic"/>
      <family val="2"/>
    </font>
    <font>
      <b/>
      <sz val="9"/>
      <color theme="1"/>
      <name val="Arial Nova Cond"/>
      <family val="2"/>
    </font>
    <font>
      <b/>
      <sz val="12"/>
      <color rgb="FFC00000"/>
      <name val="Arial Nova Cond"/>
      <family val="2"/>
    </font>
    <font>
      <b/>
      <sz val="11"/>
      <color theme="1"/>
      <name val="Arial Unicode MS"/>
    </font>
    <font>
      <sz val="14"/>
      <color theme="1"/>
      <name val="Aptos Display"/>
      <family val="2"/>
    </font>
    <font>
      <b/>
      <sz val="14"/>
      <color theme="0"/>
      <name val="Aptos Display"/>
      <family val="2"/>
    </font>
    <font>
      <b/>
      <sz val="14"/>
      <color theme="1"/>
      <name val="Aptos Display"/>
      <family val="2"/>
    </font>
    <font>
      <b/>
      <sz val="18"/>
      <color theme="0"/>
      <name val="Aptos Display"/>
      <family val="2"/>
    </font>
    <font>
      <b/>
      <sz val="12"/>
      <color theme="0"/>
      <name val="Aptos Display"/>
      <family val="2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E3E3E3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C0C0C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0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43" fontId="2" fillId="0" borderId="0" xfId="1" applyFont="1"/>
    <xf numFmtId="0" fontId="12" fillId="0" borderId="0" xfId="0" applyFont="1"/>
    <xf numFmtId="0" fontId="9" fillId="0" borderId="1" xfId="0" applyFont="1" applyBorder="1" applyAlignment="1">
      <alignment vertical="center" wrapText="1"/>
    </xf>
    <xf numFmtId="14" fontId="3" fillId="0" borderId="8" xfId="0" applyNumberFormat="1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8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2" borderId="1" xfId="0" quotePrefix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43" fontId="3" fillId="0" borderId="0" xfId="1" applyFont="1" applyAlignment="1">
      <alignment horizontal="center"/>
    </xf>
    <xf numFmtId="0" fontId="19" fillId="0" borderId="0" xfId="0" applyFont="1"/>
    <xf numFmtId="0" fontId="0" fillId="0" borderId="5" xfId="0" applyBorder="1"/>
    <xf numFmtId="0" fontId="0" fillId="0" borderId="9" xfId="0" applyBorder="1"/>
    <xf numFmtId="0" fontId="0" fillId="0" borderId="6" xfId="0" applyBorder="1"/>
    <xf numFmtId="49" fontId="11" fillId="2" borderId="3" xfId="1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2" fillId="0" borderId="6" xfId="0" applyFont="1" applyBorder="1"/>
    <xf numFmtId="0" fontId="12" fillId="0" borderId="7" xfId="0" applyFont="1" applyBorder="1"/>
    <xf numFmtId="0" fontId="12" fillId="0" borderId="5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3" fillId="10" borderId="0" xfId="0" applyFont="1" applyFill="1"/>
    <xf numFmtId="0" fontId="5" fillId="10" borderId="0" xfId="0" applyFont="1" applyFill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1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0" fontId="17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43" fontId="26" fillId="0" borderId="0" xfId="1" applyFont="1"/>
    <xf numFmtId="43" fontId="25" fillId="0" borderId="0" xfId="1" applyFont="1"/>
    <xf numFmtId="43" fontId="26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49" fontId="26" fillId="0" borderId="1" xfId="0" applyNumberFormat="1" applyFont="1" applyBorder="1" applyAlignment="1">
      <alignment horizontal="left" vertical="center"/>
    </xf>
    <xf numFmtId="49" fontId="26" fillId="0" borderId="0" xfId="0" applyNumberFormat="1" applyFont="1" applyAlignment="1">
      <alignment horizontal="center" vertical="center"/>
    </xf>
    <xf numFmtId="43" fontId="26" fillId="0" borderId="0" xfId="1" applyFont="1" applyFill="1" applyBorder="1" applyAlignment="1">
      <alignment vertical="center"/>
    </xf>
    <xf numFmtId="9" fontId="26" fillId="0" borderId="1" xfId="2" applyFont="1" applyFill="1" applyBorder="1" applyAlignment="1">
      <alignment horizontal="center" vertical="center"/>
    </xf>
    <xf numFmtId="43" fontId="26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0" fontId="25" fillId="4" borderId="1" xfId="0" applyFont="1" applyFill="1" applyBorder="1" applyAlignment="1">
      <alignment horizontal="left" vertical="center"/>
    </xf>
    <xf numFmtId="0" fontId="26" fillId="0" borderId="14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12" borderId="1" xfId="0" applyFont="1" applyFill="1" applyBorder="1" applyAlignment="1">
      <alignment horizontal="left" vertical="center" wrapText="1"/>
    </xf>
    <xf numFmtId="43" fontId="25" fillId="12" borderId="1" xfId="1" applyFont="1" applyFill="1" applyBorder="1" applyAlignment="1">
      <alignment horizontal="left" vertical="center" wrapText="1"/>
    </xf>
    <xf numFmtId="43" fontId="26" fillId="0" borderId="1" xfId="1" applyFont="1" applyFill="1" applyBorder="1" applyAlignment="1">
      <alignment horizontal="center" vertical="center" wrapText="1"/>
    </xf>
    <xf numFmtId="43" fontId="25" fillId="0" borderId="1" xfId="1" applyFont="1" applyFill="1" applyBorder="1" applyAlignment="1">
      <alignment horizontal="center" vertical="center" wrapText="1"/>
    </xf>
    <xf numFmtId="9" fontId="26" fillId="0" borderId="0" xfId="2" applyFont="1" applyFill="1" applyBorder="1" applyAlignment="1">
      <alignment vertical="center"/>
    </xf>
    <xf numFmtId="0" fontId="29" fillId="0" borderId="0" xfId="0" applyFont="1"/>
    <xf numFmtId="0" fontId="24" fillId="0" borderId="1" xfId="0" applyFont="1" applyBorder="1" applyAlignment="1">
      <alignment horizontal="center"/>
    </xf>
    <xf numFmtId="9" fontId="24" fillId="0" borderId="1" xfId="2" applyFont="1" applyBorder="1" applyAlignment="1">
      <alignment horizontal="center"/>
    </xf>
    <xf numFmtId="9" fontId="26" fillId="0" borderId="0" xfId="2" applyFont="1" applyFill="1" applyBorder="1" applyAlignment="1" applyProtection="1">
      <alignment vertical="center"/>
      <protection locked="0"/>
    </xf>
    <xf numFmtId="43" fontId="26" fillId="0" borderId="0" xfId="1" applyFont="1" applyFill="1" applyBorder="1" applyAlignment="1" applyProtection="1">
      <alignment vertical="center"/>
      <protection locked="0"/>
    </xf>
    <xf numFmtId="43" fontId="26" fillId="0" borderId="0" xfId="1" applyFont="1" applyProtection="1">
      <protection locked="0"/>
    </xf>
    <xf numFmtId="0" fontId="25" fillId="13" borderId="1" xfId="0" applyFont="1" applyFill="1" applyBorder="1" applyAlignment="1">
      <alignment horizontal="left" vertical="center"/>
    </xf>
    <xf numFmtId="0" fontId="25" fillId="13" borderId="1" xfId="0" applyFont="1" applyFill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0" fontId="26" fillId="0" borderId="5" xfId="0" applyFont="1" applyBorder="1"/>
    <xf numFmtId="9" fontId="26" fillId="0" borderId="1" xfId="1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43" fontId="26" fillId="0" borderId="0" xfId="1" applyFont="1" applyFill="1" applyBorder="1" applyAlignment="1">
      <alignment horizontal="center" vertical="center" wrapText="1"/>
    </xf>
    <xf numFmtId="43" fontId="26" fillId="0" borderId="0" xfId="1" applyFont="1" applyBorder="1"/>
    <xf numFmtId="43" fontId="25" fillId="0" borderId="1" xfId="1" applyFont="1" applyBorder="1"/>
    <xf numFmtId="43" fontId="25" fillId="0" borderId="0" xfId="1" applyFont="1" applyAlignment="1">
      <alignment horizontal="center"/>
    </xf>
    <xf numFmtId="49" fontId="26" fillId="7" borderId="1" xfId="0" applyNumberFormat="1" applyFont="1" applyFill="1" applyBorder="1" applyAlignment="1" applyProtection="1">
      <alignment horizontal="center" vertical="center"/>
      <protection locked="0"/>
    </xf>
    <xf numFmtId="43" fontId="26" fillId="7" borderId="1" xfId="1" applyFont="1" applyFill="1" applyBorder="1" applyAlignment="1" applyProtection="1">
      <alignment horizontal="center" vertical="center"/>
      <protection locked="0"/>
    </xf>
    <xf numFmtId="43" fontId="26" fillId="7" borderId="1" xfId="1" applyFont="1" applyFill="1" applyBorder="1" applyAlignment="1" applyProtection="1">
      <alignment horizontal="center" vertical="center" wrapText="1"/>
      <protection locked="0"/>
    </xf>
    <xf numFmtId="0" fontId="31" fillId="11" borderId="1" xfId="0" applyFont="1" applyFill="1" applyBorder="1" applyAlignment="1">
      <alignment horizontal="center" vertical="center"/>
    </xf>
    <xf numFmtId="0" fontId="29" fillId="0" borderId="1" xfId="0" applyFont="1" applyBorder="1"/>
    <xf numFmtId="0" fontId="32" fillId="12" borderId="1" xfId="0" applyFont="1" applyFill="1" applyBorder="1"/>
    <xf numFmtId="0" fontId="32" fillId="0" borderId="1" xfId="0" applyFont="1" applyBorder="1"/>
    <xf numFmtId="0" fontId="33" fillId="0" borderId="1" xfId="0" applyFont="1" applyBorder="1"/>
    <xf numFmtId="0" fontId="33" fillId="0" borderId="0" xfId="0" applyFont="1"/>
    <xf numFmtId="0" fontId="32" fillId="0" borderId="0" xfId="0" applyFont="1"/>
    <xf numFmtId="0" fontId="3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9" fontId="29" fillId="0" borderId="0" xfId="2" applyFont="1"/>
    <xf numFmtId="9" fontId="29" fillId="0" borderId="1" xfId="2" applyFont="1" applyBorder="1" applyAlignment="1">
      <alignment horizontal="center"/>
    </xf>
    <xf numFmtId="43" fontId="32" fillId="12" borderId="1" xfId="0" applyNumberFormat="1" applyFont="1" applyFill="1" applyBorder="1"/>
    <xf numFmtId="43" fontId="32" fillId="0" borderId="1" xfId="1" applyFont="1" applyBorder="1"/>
    <xf numFmtId="43" fontId="32" fillId="0" borderId="0" xfId="1" applyFont="1"/>
    <xf numFmtId="43" fontId="29" fillId="0" borderId="0" xfId="1" applyFont="1" applyProtection="1">
      <protection locked="0"/>
    </xf>
    <xf numFmtId="43" fontId="29" fillId="7" borderId="1" xfId="1" applyFont="1" applyFill="1" applyBorder="1" applyProtection="1">
      <protection locked="0"/>
    </xf>
    <xf numFmtId="0" fontId="27" fillId="11" borderId="0" xfId="0" applyFont="1" applyFill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5" fillId="0" borderId="1" xfId="0" applyFont="1" applyBorder="1"/>
    <xf numFmtId="43" fontId="35" fillId="7" borderId="1" xfId="1" applyFont="1" applyFill="1" applyBorder="1" applyProtection="1">
      <protection locked="0"/>
    </xf>
    <xf numFmtId="43" fontId="35" fillId="0" borderId="0" xfId="1" applyFont="1" applyProtection="1">
      <protection locked="0"/>
    </xf>
    <xf numFmtId="43" fontId="35" fillId="0" borderId="1" xfId="1" applyFont="1" applyBorder="1"/>
    <xf numFmtId="10" fontId="35" fillId="0" borderId="1" xfId="2" applyNumberFormat="1" applyFont="1" applyBorder="1" applyAlignment="1">
      <alignment horizontal="center" vertical="center"/>
    </xf>
    <xf numFmtId="10" fontId="35" fillId="0" borderId="0" xfId="2" applyNumberFormat="1" applyFont="1" applyAlignment="1">
      <alignment horizontal="center" vertical="center"/>
    </xf>
    <xf numFmtId="0" fontId="36" fillId="12" borderId="1" xfId="0" applyFont="1" applyFill="1" applyBorder="1"/>
    <xf numFmtId="0" fontId="36" fillId="0" borderId="0" xfId="0" applyFont="1"/>
    <xf numFmtId="43" fontId="36" fillId="12" borderId="1" xfId="1" applyFont="1" applyFill="1" applyBorder="1"/>
    <xf numFmtId="0" fontId="37" fillId="0" borderId="1" xfId="0" applyFont="1" applyBorder="1"/>
    <xf numFmtId="0" fontId="37" fillId="0" borderId="0" xfId="0" applyFont="1"/>
    <xf numFmtId="43" fontId="37" fillId="0" borderId="1" xfId="1" applyFont="1" applyBorder="1"/>
    <xf numFmtId="0" fontId="36" fillId="0" borderId="1" xfId="0" applyFont="1" applyBorder="1"/>
    <xf numFmtId="43" fontId="36" fillId="0" borderId="1" xfId="1" applyFont="1" applyBorder="1"/>
    <xf numFmtId="43" fontId="35" fillId="0" borderId="17" xfId="1" applyFont="1" applyBorder="1"/>
    <xf numFmtId="43" fontId="35" fillId="0" borderId="1" xfId="1" applyFont="1" applyFill="1" applyBorder="1" applyProtection="1"/>
    <xf numFmtId="43" fontId="35" fillId="0" borderId="0" xfId="1" applyFont="1" applyFill="1" applyProtection="1"/>
    <xf numFmtId="0" fontId="35" fillId="0" borderId="0" xfId="0" applyFont="1" applyProtection="1">
      <protection locked="0"/>
    </xf>
    <xf numFmtId="43" fontId="35" fillId="0" borderId="1" xfId="2" applyNumberFormat="1" applyFont="1" applyBorder="1" applyAlignment="1">
      <alignment horizontal="center" vertical="center"/>
    </xf>
    <xf numFmtId="43" fontId="36" fillId="0" borderId="1" xfId="1" applyFont="1" applyFill="1" applyBorder="1"/>
    <xf numFmtId="9" fontId="35" fillId="0" borderId="1" xfId="2" applyFont="1" applyBorder="1" applyAlignment="1">
      <alignment horizontal="center" vertical="center"/>
    </xf>
    <xf numFmtId="43" fontId="35" fillId="0" borderId="1" xfId="1" applyFont="1" applyFill="1" applyBorder="1"/>
    <xf numFmtId="0" fontId="36" fillId="0" borderId="1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 indent="1"/>
    </xf>
    <xf numFmtId="43" fontId="35" fillId="0" borderId="0" xfId="1" applyFont="1"/>
    <xf numFmtId="43" fontId="36" fillId="0" borderId="0" xfId="1" applyFont="1"/>
    <xf numFmtId="9" fontId="35" fillId="0" borderId="0" xfId="2" applyFont="1" applyAlignment="1">
      <alignment horizontal="center" vertical="center"/>
    </xf>
    <xf numFmtId="0" fontId="35" fillId="0" borderId="10" xfId="0" applyFont="1" applyBorder="1"/>
    <xf numFmtId="0" fontId="35" fillId="0" borderId="11" xfId="0" applyFont="1" applyBorder="1"/>
    <xf numFmtId="0" fontId="35" fillId="0" borderId="12" xfId="0" applyFont="1" applyBorder="1"/>
    <xf numFmtId="0" fontId="42" fillId="4" borderId="0" xfId="0" applyFont="1" applyFill="1" applyAlignment="1">
      <alignment horizontal="center"/>
    </xf>
    <xf numFmtId="0" fontId="30" fillId="0" borderId="0" xfId="0" applyFont="1" applyAlignment="1">
      <alignment vertical="top"/>
    </xf>
    <xf numFmtId="43" fontId="30" fillId="0" borderId="0" xfId="1" applyFont="1" applyAlignment="1">
      <alignment vertical="top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top"/>
    </xf>
    <xf numFmtId="0" fontId="46" fillId="0" borderId="0" xfId="0" applyFont="1" applyAlignment="1">
      <alignment horizontal="center" vertical="top"/>
    </xf>
    <xf numFmtId="0" fontId="44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top"/>
    </xf>
    <xf numFmtId="43" fontId="44" fillId="2" borderId="0" xfId="1" applyFont="1" applyFill="1" applyAlignment="1">
      <alignment horizontal="center" vertical="top"/>
    </xf>
    <xf numFmtId="0" fontId="45" fillId="0" borderId="0" xfId="0" applyFont="1" applyAlignment="1">
      <alignment horizontal="center" vertical="center"/>
    </xf>
    <xf numFmtId="16" fontId="45" fillId="0" borderId="0" xfId="0" applyNumberFormat="1" applyFont="1" applyAlignment="1">
      <alignment horizontal="center" vertical="top"/>
    </xf>
    <xf numFmtId="43" fontId="30" fillId="0" borderId="0" xfId="1" applyFont="1" applyBorder="1" applyAlignment="1">
      <alignment vertical="top"/>
    </xf>
    <xf numFmtId="0" fontId="30" fillId="0" borderId="0" xfId="0" applyFont="1" applyAlignment="1">
      <alignment horizontal="left" vertical="top"/>
    </xf>
    <xf numFmtId="43" fontId="44" fillId="2" borderId="0" xfId="1" applyFont="1" applyFill="1" applyAlignment="1">
      <alignment horizontal="center" vertical="center"/>
    </xf>
    <xf numFmtId="0" fontId="4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3" fillId="0" borderId="0" xfId="0" applyFont="1" applyAlignment="1">
      <alignment horizontal="justify" vertical="top"/>
    </xf>
    <xf numFmtId="0" fontId="40" fillId="0" borderId="0" xfId="0" applyFont="1"/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/>
    <xf numFmtId="43" fontId="40" fillId="0" borderId="0" xfId="1" applyFont="1"/>
    <xf numFmtId="43" fontId="40" fillId="0" borderId="7" xfId="1" applyFont="1" applyBorder="1"/>
    <xf numFmtId="43" fontId="40" fillId="0" borderId="5" xfId="1" applyFont="1" applyBorder="1"/>
    <xf numFmtId="43" fontId="50" fillId="0" borderId="0" xfId="1" applyFont="1"/>
    <xf numFmtId="43" fontId="50" fillId="0" borderId="5" xfId="1" applyFont="1" applyBorder="1"/>
    <xf numFmtId="43" fontId="40" fillId="0" borderId="0" xfId="1" applyFont="1" applyBorder="1"/>
    <xf numFmtId="0" fontId="43" fillId="0" borderId="18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top"/>
    </xf>
    <xf numFmtId="0" fontId="30" fillId="0" borderId="18" xfId="0" applyFont="1" applyBorder="1" applyAlignment="1">
      <alignment vertical="top"/>
    </xf>
    <xf numFmtId="43" fontId="30" fillId="0" borderId="18" xfId="1" applyFont="1" applyBorder="1" applyAlignment="1">
      <alignment vertical="top"/>
    </xf>
    <xf numFmtId="0" fontId="30" fillId="0" borderId="18" xfId="0" applyFont="1" applyBorder="1" applyAlignment="1">
      <alignment horizontal="left" vertical="top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5" fillId="0" borderId="0" xfId="0" applyFont="1" applyAlignment="1">
      <alignment horizontal="center" vertical="center"/>
    </xf>
    <xf numFmtId="0" fontId="55" fillId="1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43" fontId="17" fillId="0" borderId="1" xfId="1" applyFont="1" applyBorder="1"/>
    <xf numFmtId="16" fontId="55" fillId="14" borderId="1" xfId="0" applyNumberFormat="1" applyFont="1" applyFill="1" applyBorder="1" applyAlignment="1">
      <alignment horizontal="center" vertical="center"/>
    </xf>
    <xf numFmtId="43" fontId="55" fillId="0" borderId="1" xfId="1" applyFont="1" applyBorder="1"/>
    <xf numFmtId="43" fontId="55" fillId="14" borderId="1" xfId="1" applyFont="1" applyFill="1" applyBorder="1"/>
    <xf numFmtId="0" fontId="55" fillId="14" borderId="1" xfId="0" applyFont="1" applyFill="1" applyBorder="1" applyAlignment="1">
      <alignment horizontal="center"/>
    </xf>
    <xf numFmtId="43" fontId="55" fillId="14" borderId="1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17" fillId="0" borderId="0" xfId="1" applyFont="1"/>
    <xf numFmtId="10" fontId="17" fillId="0" borderId="1" xfId="2" applyNumberFormat="1" applyFont="1" applyBorder="1" applyAlignment="1">
      <alignment horizontal="center" vertical="center"/>
    </xf>
    <xf numFmtId="0" fontId="30" fillId="0" borderId="6" xfId="0" applyFont="1" applyBorder="1" applyAlignment="1">
      <alignment vertical="top"/>
    </xf>
    <xf numFmtId="0" fontId="43" fillId="0" borderId="6" xfId="0" applyFont="1" applyBorder="1" applyAlignment="1">
      <alignment horizontal="center" vertical="center"/>
    </xf>
    <xf numFmtId="16" fontId="45" fillId="0" borderId="6" xfId="0" applyNumberFormat="1" applyFont="1" applyBorder="1" applyAlignment="1">
      <alignment horizontal="center" vertical="top"/>
    </xf>
    <xf numFmtId="43" fontId="30" fillId="0" borderId="6" xfId="1" applyFont="1" applyBorder="1" applyAlignment="1">
      <alignment vertical="top"/>
    </xf>
    <xf numFmtId="0" fontId="56" fillId="0" borderId="0" xfId="0" applyFont="1" applyAlignment="1">
      <alignment horizontal="center" vertical="top"/>
    </xf>
    <xf numFmtId="0" fontId="45" fillId="0" borderId="6" xfId="0" applyFont="1" applyBorder="1" applyAlignment="1">
      <alignment horizontal="center" vertical="top"/>
    </xf>
    <xf numFmtId="0" fontId="30" fillId="0" borderId="6" xfId="0" applyFont="1" applyBorder="1" applyAlignment="1">
      <alignment horizontal="left" vertical="top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56" fillId="0" borderId="0" xfId="0" applyFont="1" applyAlignment="1">
      <alignment horizontal="center" vertical="center" wrapText="1"/>
    </xf>
    <xf numFmtId="0" fontId="56" fillId="0" borderId="6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57" fillId="0" borderId="0" xfId="0" applyFont="1" applyAlignment="1">
      <alignment vertical="center"/>
    </xf>
    <xf numFmtId="4" fontId="58" fillId="0" borderId="0" xfId="0" applyNumberFormat="1" applyFont="1" applyAlignment="1">
      <alignment vertical="center"/>
    </xf>
    <xf numFmtId="4" fontId="59" fillId="16" borderId="21" xfId="0" applyNumberFormat="1" applyFont="1" applyFill="1" applyBorder="1" applyAlignment="1">
      <alignment horizontal="center"/>
    </xf>
    <xf numFmtId="4" fontId="59" fillId="16" borderId="22" xfId="0" applyNumberFormat="1" applyFont="1" applyFill="1" applyBorder="1"/>
    <xf numFmtId="4" fontId="59" fillId="16" borderId="22" xfId="0" applyNumberFormat="1" applyFont="1" applyFill="1" applyBorder="1" applyAlignment="1">
      <alignment horizontal="right"/>
    </xf>
    <xf numFmtId="4" fontId="59" fillId="16" borderId="23" xfId="0" applyNumberFormat="1" applyFont="1" applyFill="1" applyBorder="1" applyAlignment="1">
      <alignment horizontal="right"/>
    </xf>
    <xf numFmtId="49" fontId="58" fillId="0" borderId="24" xfId="0" applyNumberFormat="1" applyFont="1" applyBorder="1" applyAlignment="1">
      <alignment horizontal="center"/>
    </xf>
    <xf numFmtId="4" fontId="58" fillId="0" borderId="24" xfId="0" applyNumberFormat="1" applyFont="1" applyBorder="1" applyAlignment="1">
      <alignment horizontal="center"/>
    </xf>
    <xf numFmtId="4" fontId="58" fillId="0" borderId="24" xfId="0" applyNumberFormat="1" applyFont="1" applyBorder="1"/>
    <xf numFmtId="165" fontId="58" fillId="0" borderId="24" xfId="0" applyNumberFormat="1" applyFont="1" applyBorder="1" applyAlignment="1">
      <alignment horizontal="right"/>
    </xf>
    <xf numFmtId="165" fontId="60" fillId="0" borderId="24" xfId="0" applyNumberFormat="1" applyFont="1" applyBorder="1" applyAlignment="1">
      <alignment horizontal="right"/>
    </xf>
    <xf numFmtId="49" fontId="34" fillId="17" borderId="24" xfId="0" applyNumberFormat="1" applyFont="1" applyFill="1" applyBorder="1" applyAlignment="1">
      <alignment horizontal="center"/>
    </xf>
    <xf numFmtId="4" fontId="34" fillId="17" borderId="24" xfId="0" applyNumberFormat="1" applyFont="1" applyFill="1" applyBorder="1" applyAlignment="1">
      <alignment horizontal="center"/>
    </xf>
    <xf numFmtId="4" fontId="34" fillId="17" borderId="24" xfId="0" applyNumberFormat="1" applyFont="1" applyFill="1" applyBorder="1"/>
    <xf numFmtId="165" fontId="34" fillId="17" borderId="24" xfId="0" applyNumberFormat="1" applyFont="1" applyFill="1" applyBorder="1" applyAlignment="1">
      <alignment horizontal="right"/>
    </xf>
    <xf numFmtId="4" fontId="59" fillId="17" borderId="24" xfId="0" applyNumberFormat="1" applyFont="1" applyFill="1" applyBorder="1"/>
    <xf numFmtId="165" fontId="59" fillId="17" borderId="24" xfId="0" applyNumberFormat="1" applyFont="1" applyFill="1" applyBorder="1" applyAlignment="1">
      <alignment horizontal="right"/>
    </xf>
    <xf numFmtId="4" fontId="60" fillId="0" borderId="24" xfId="0" applyNumberFormat="1" applyFont="1" applyBorder="1"/>
    <xf numFmtId="0" fontId="61" fillId="0" borderId="0" xfId="0" applyFont="1" applyAlignment="1">
      <alignment wrapText="1"/>
    </xf>
    <xf numFmtId="0" fontId="61" fillId="0" borderId="0" xfId="0" applyFont="1"/>
    <xf numFmtId="0" fontId="62" fillId="0" borderId="0" xfId="0" applyFont="1"/>
    <xf numFmtId="0" fontId="4" fillId="0" borderId="0" xfId="0" applyFont="1" applyAlignment="1">
      <alignment horizontal="center" vertical="top"/>
    </xf>
    <xf numFmtId="0" fontId="4" fillId="0" borderId="8" xfId="0" applyFont="1" applyBorder="1" applyAlignment="1">
      <alignment horizontal="justify" vertical="top"/>
    </xf>
    <xf numFmtId="14" fontId="58" fillId="0" borderId="0" xfId="0" applyNumberFormat="1" applyFont="1" applyAlignment="1">
      <alignment horizontal="left" vertical="center"/>
    </xf>
    <xf numFmtId="165" fontId="34" fillId="17" borderId="24" xfId="0" applyNumberFormat="1" applyFont="1" applyFill="1" applyBorder="1" applyAlignment="1">
      <alignment horizontal="left"/>
    </xf>
    <xf numFmtId="49" fontId="58" fillId="0" borderId="0" xfId="0" applyNumberFormat="1" applyFont="1" applyAlignment="1">
      <alignment vertical="center"/>
    </xf>
    <xf numFmtId="0" fontId="56" fillId="4" borderId="1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44" fillId="11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56" fillId="15" borderId="1" xfId="0" applyFont="1" applyFill="1" applyBorder="1" applyAlignment="1">
      <alignment horizontal="center" vertical="center" wrapText="1"/>
    </xf>
    <xf numFmtId="0" fontId="30" fillId="0" borderId="0" xfId="0" applyFont="1"/>
    <xf numFmtId="0" fontId="56" fillId="3" borderId="1" xfId="0" applyFont="1" applyFill="1" applyBorder="1" applyAlignment="1">
      <alignment horizontal="center" vertical="center" wrapText="1"/>
    </xf>
    <xf numFmtId="0" fontId="56" fillId="13" borderId="1" xfId="0" applyFont="1" applyFill="1" applyBorder="1" applyAlignment="1">
      <alignment horizontal="center" vertical="center" wrapText="1"/>
    </xf>
    <xf numFmtId="0" fontId="56" fillId="0" borderId="0" xfId="0" applyFont="1"/>
    <xf numFmtId="0" fontId="56" fillId="0" borderId="1" xfId="0" applyFont="1" applyBorder="1" applyAlignment="1">
      <alignment horizontal="center" vertical="center"/>
    </xf>
    <xf numFmtId="0" fontId="38" fillId="0" borderId="0" xfId="0" applyFont="1"/>
    <xf numFmtId="0" fontId="63" fillId="0" borderId="0" xfId="0" applyFont="1"/>
    <xf numFmtId="14" fontId="17" fillId="0" borderId="1" xfId="0" applyNumberFormat="1" applyFont="1" applyBorder="1" applyAlignment="1">
      <alignment horizontal="center" vertical="center"/>
    </xf>
    <xf numFmtId="14" fontId="17" fillId="18" borderId="1" xfId="0" applyNumberFormat="1" applyFont="1" applyFill="1" applyBorder="1" applyAlignment="1">
      <alignment horizontal="center" vertical="center"/>
    </xf>
    <xf numFmtId="0" fontId="17" fillId="18" borderId="0" xfId="0" applyFont="1" applyFill="1"/>
    <xf numFmtId="0" fontId="17" fillId="18" borderId="1" xfId="0" applyFont="1" applyFill="1" applyBorder="1" applyAlignment="1">
      <alignment horizontal="center" vertical="center"/>
    </xf>
    <xf numFmtId="43" fontId="17" fillId="18" borderId="1" xfId="1" applyFont="1" applyFill="1" applyBorder="1"/>
    <xf numFmtId="0" fontId="17" fillId="18" borderId="1" xfId="0" applyFont="1" applyFill="1" applyBorder="1" applyAlignment="1">
      <alignment horizontal="center"/>
    </xf>
    <xf numFmtId="0" fontId="55" fillId="0" borderId="1" xfId="0" applyFont="1" applyBorder="1" applyAlignment="1">
      <alignment horizontal="center"/>
    </xf>
    <xf numFmtId="43" fontId="55" fillId="4" borderId="1" xfId="0" applyNumberFormat="1" applyFont="1" applyFill="1" applyBorder="1"/>
    <xf numFmtId="0" fontId="64" fillId="0" borderId="1" xfId="0" applyFont="1" applyBorder="1" applyAlignment="1">
      <alignment horizontal="center" vertical="center"/>
    </xf>
    <xf numFmtId="0" fontId="23" fillId="0" borderId="0" xfId="0" applyFont="1"/>
    <xf numFmtId="43" fontId="40" fillId="0" borderId="11" xfId="1" applyFont="1" applyBorder="1"/>
    <xf numFmtId="43" fontId="40" fillId="0" borderId="18" xfId="1" applyFont="1" applyBorder="1"/>
    <xf numFmtId="43" fontId="40" fillId="0" borderId="10" xfId="1" applyFont="1" applyBorder="1"/>
    <xf numFmtId="0" fontId="5" fillId="11" borderId="25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10" borderId="0" xfId="0" applyFont="1" applyFill="1"/>
    <xf numFmtId="0" fontId="5" fillId="0" borderId="0" xfId="0" applyFont="1" applyAlignment="1">
      <alignment horizontal="left" vertical="center" wrapText="1"/>
    </xf>
    <xf numFmtId="43" fontId="39" fillId="0" borderId="18" xfId="1" applyFont="1" applyBorder="1"/>
    <xf numFmtId="10" fontId="30" fillId="0" borderId="0" xfId="2" applyNumberFormat="1" applyFont="1" applyAlignment="1">
      <alignment vertical="top"/>
    </xf>
    <xf numFmtId="16" fontId="44" fillId="0" borderId="0" xfId="0" applyNumberFormat="1" applyFont="1" applyAlignment="1">
      <alignment horizontal="center" vertical="top"/>
    </xf>
    <xf numFmtId="0" fontId="44" fillId="0" borderId="0" xfId="0" applyFont="1" applyAlignment="1">
      <alignment horizontal="center" vertical="top"/>
    </xf>
    <xf numFmtId="0" fontId="66" fillId="0" borderId="0" xfId="0" applyFont="1"/>
    <xf numFmtId="0" fontId="67" fillId="0" borderId="0" xfId="0" applyFont="1" applyAlignment="1">
      <alignment horizontal="center"/>
    </xf>
    <xf numFmtId="43" fontId="67" fillId="0" borderId="0" xfId="1" applyFont="1" applyBorder="1" applyAlignment="1">
      <alignment horizontal="center"/>
    </xf>
    <xf numFmtId="0" fontId="67" fillId="0" borderId="0" xfId="0" applyFont="1"/>
    <xf numFmtId="0" fontId="68" fillId="2" borderId="2" xfId="0" applyFont="1" applyFill="1" applyBorder="1" applyAlignment="1">
      <alignment horizontal="center" vertical="center" wrapText="1"/>
    </xf>
    <xf numFmtId="43" fontId="68" fillId="2" borderId="2" xfId="1" applyFont="1" applyFill="1" applyBorder="1" applyAlignment="1">
      <alignment horizontal="center" vertical="center"/>
    </xf>
    <xf numFmtId="0" fontId="67" fillId="0" borderId="1" xfId="0" applyFont="1" applyBorder="1" applyAlignment="1">
      <alignment horizontal="left" vertical="center" wrapText="1"/>
    </xf>
    <xf numFmtId="0" fontId="67" fillId="0" borderId="1" xfId="0" applyFont="1" applyBorder="1" applyAlignment="1">
      <alignment vertical="center" wrapText="1"/>
    </xf>
    <xf numFmtId="43" fontId="66" fillId="0" borderId="0" xfId="1" applyFont="1" applyBorder="1"/>
    <xf numFmtId="0" fontId="66" fillId="0" borderId="1" xfId="0" applyFont="1" applyBorder="1" applyAlignment="1">
      <alignment horizontal="left" vertical="center" wrapText="1"/>
    </xf>
    <xf numFmtId="0" fontId="66" fillId="0" borderId="1" xfId="0" applyFont="1" applyBorder="1" applyAlignment="1">
      <alignment vertical="center" wrapText="1"/>
    </xf>
    <xf numFmtId="0" fontId="69" fillId="0" borderId="1" xfId="0" applyFont="1" applyBorder="1" applyAlignment="1">
      <alignment vertical="center" wrapText="1"/>
    </xf>
    <xf numFmtId="0" fontId="66" fillId="0" borderId="0" xfId="0" applyFont="1" applyAlignment="1">
      <alignment horizontal="left"/>
    </xf>
    <xf numFmtId="43" fontId="66" fillId="0" borderId="1" xfId="1" applyFont="1" applyBorder="1"/>
    <xf numFmtId="0" fontId="66" fillId="0" borderId="0" xfId="1" applyNumberFormat="1" applyFont="1" applyBorder="1"/>
    <xf numFmtId="43" fontId="67" fillId="0" borderId="1" xfId="1" applyFont="1" applyBorder="1"/>
    <xf numFmtId="0" fontId="67" fillId="0" borderId="1" xfId="1" applyNumberFormat="1" applyFont="1" applyBorder="1"/>
    <xf numFmtId="0" fontId="70" fillId="0" borderId="0" xfId="0" applyFont="1" applyAlignment="1">
      <alignment horizontal="left"/>
    </xf>
    <xf numFmtId="43" fontId="40" fillId="0" borderId="6" xfId="1" applyFont="1" applyBorder="1"/>
    <xf numFmtId="43" fontId="40" fillId="0" borderId="9" xfId="1" applyFont="1" applyBorder="1"/>
    <xf numFmtId="43" fontId="39" fillId="0" borderId="5" xfId="1" applyFont="1" applyBorder="1"/>
    <xf numFmtId="43" fontId="40" fillId="0" borderId="15" xfId="1" applyFont="1" applyBorder="1"/>
    <xf numFmtId="43" fontId="40" fillId="0" borderId="14" xfId="1" applyFont="1" applyBorder="1"/>
    <xf numFmtId="43" fontId="39" fillId="0" borderId="0" xfId="1" applyFont="1"/>
    <xf numFmtId="43" fontId="17" fillId="0" borderId="0" xfId="0" applyNumberFormat="1" applyFont="1"/>
    <xf numFmtId="0" fontId="71" fillId="0" borderId="0" xfId="0" applyFont="1" applyAlignment="1">
      <alignment horizontal="left"/>
    </xf>
    <xf numFmtId="0" fontId="71" fillId="0" borderId="0" xfId="0" applyFont="1"/>
    <xf numFmtId="43" fontId="71" fillId="0" borderId="0" xfId="1" applyFont="1" applyBorder="1"/>
    <xf numFmtId="43" fontId="72" fillId="0" borderId="0" xfId="1" applyFont="1" applyBorder="1"/>
    <xf numFmtId="0" fontId="70" fillId="0" borderId="0" xfId="0" applyFont="1"/>
    <xf numFmtId="0" fontId="68" fillId="11" borderId="0" xfId="0" applyFont="1" applyFill="1" applyAlignment="1">
      <alignment horizontal="center" vertical="center"/>
    </xf>
    <xf numFmtId="0" fontId="68" fillId="2" borderId="0" xfId="0" applyFont="1" applyFill="1" applyAlignment="1">
      <alignment horizontal="center"/>
    </xf>
    <xf numFmtId="43" fontId="68" fillId="2" borderId="0" xfId="1" applyFont="1" applyFill="1" applyBorder="1"/>
    <xf numFmtId="43" fontId="66" fillId="0" borderId="0" xfId="0" applyNumberFormat="1" applyFont="1"/>
    <xf numFmtId="43" fontId="67" fillId="0" borderId="0" xfId="1" applyFont="1" applyBorder="1"/>
    <xf numFmtId="43" fontId="39" fillId="0" borderId="0" xfId="0" applyNumberFormat="1" applyFont="1"/>
    <xf numFmtId="43" fontId="39" fillId="0" borderId="7" xfId="1" applyFont="1" applyBorder="1"/>
    <xf numFmtId="43" fontId="50" fillId="0" borderId="15" xfId="1" applyFont="1" applyBorder="1"/>
    <xf numFmtId="43" fontId="50" fillId="0" borderId="14" xfId="1" applyFont="1" applyBorder="1"/>
    <xf numFmtId="43" fontId="73" fillId="0" borderId="5" xfId="1" applyFont="1" applyBorder="1"/>
    <xf numFmtId="0" fontId="40" fillId="0" borderId="5" xfId="0" applyFont="1" applyBorder="1"/>
    <xf numFmtId="0" fontId="75" fillId="0" borderId="0" xfId="0" applyFont="1"/>
    <xf numFmtId="0" fontId="76" fillId="0" borderId="1" xfId="0" applyFont="1" applyBorder="1" applyAlignment="1">
      <alignment horizontal="center" vertical="center" wrapText="1"/>
    </xf>
    <xf numFmtId="0" fontId="76" fillId="0" borderId="1" xfId="0" applyFont="1" applyBorder="1" applyAlignment="1">
      <alignment horizontal="center"/>
    </xf>
    <xf numFmtId="0" fontId="76" fillId="0" borderId="1" xfId="0" applyFont="1" applyBorder="1"/>
    <xf numFmtId="0" fontId="76" fillId="0" borderId="1" xfId="0" applyFont="1" applyBorder="1" applyAlignment="1">
      <alignment vertical="center" wrapText="1"/>
    </xf>
    <xf numFmtId="43" fontId="76" fillId="0" borderId="1" xfId="1" applyFont="1" applyBorder="1" applyAlignment="1">
      <alignment vertical="center" wrapText="1"/>
    </xf>
    <xf numFmtId="0" fontId="75" fillId="0" borderId="1" xfId="0" applyFont="1" applyBorder="1" applyAlignment="1">
      <alignment vertical="center" wrapText="1"/>
    </xf>
    <xf numFmtId="0" fontId="75" fillId="0" borderId="1" xfId="0" applyFont="1" applyBorder="1" applyAlignment="1">
      <alignment horizontal="left" vertical="center" wrapText="1" indent="1"/>
    </xf>
    <xf numFmtId="0" fontId="76" fillId="3" borderId="1" xfId="0" applyFont="1" applyFill="1" applyBorder="1" applyAlignment="1">
      <alignment vertical="center" wrapText="1"/>
    </xf>
    <xf numFmtId="43" fontId="76" fillId="3" borderId="1" xfId="1" applyFont="1" applyFill="1" applyBorder="1" applyAlignment="1">
      <alignment vertical="center" wrapText="1"/>
    </xf>
    <xf numFmtId="43" fontId="75" fillId="0" borderId="0" xfId="1" applyFont="1"/>
    <xf numFmtId="43" fontId="75" fillId="0" borderId="1" xfId="1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43" fontId="7" fillId="3" borderId="1" xfId="1" applyFont="1" applyFill="1" applyBorder="1" applyAlignment="1">
      <alignment vertical="center" wrapText="1"/>
    </xf>
    <xf numFmtId="0" fontId="77" fillId="0" borderId="0" xfId="0" applyFont="1"/>
    <xf numFmtId="0" fontId="68" fillId="2" borderId="1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67" fillId="0" borderId="1" xfId="0" applyFont="1" applyBorder="1" applyAlignment="1">
      <alignment vertical="center"/>
    </xf>
    <xf numFmtId="0" fontId="66" fillId="0" borderId="0" xfId="0" applyFont="1" applyAlignment="1">
      <alignment vertical="center"/>
    </xf>
    <xf numFmtId="43" fontId="67" fillId="0" borderId="1" xfId="1" applyFont="1" applyBorder="1" applyAlignment="1">
      <alignment vertical="center"/>
    </xf>
    <xf numFmtId="43" fontId="70" fillId="0" borderId="0" xfId="0" applyNumberFormat="1" applyFont="1"/>
    <xf numFmtId="10" fontId="66" fillId="0" borderId="0" xfId="2" applyNumberFormat="1" applyFont="1" applyBorder="1"/>
    <xf numFmtId="10" fontId="67" fillId="0" borderId="0" xfId="2" applyNumberFormat="1" applyFont="1" applyAlignment="1">
      <alignment horizontal="center"/>
    </xf>
    <xf numFmtId="10" fontId="67" fillId="0" borderId="0" xfId="2" applyNumberFormat="1" applyFont="1" applyBorder="1" applyAlignment="1">
      <alignment horizontal="center"/>
    </xf>
    <xf numFmtId="10" fontId="68" fillId="2" borderId="0" xfId="2" applyNumberFormat="1" applyFont="1" applyFill="1" applyBorder="1" applyAlignment="1">
      <alignment horizontal="center" vertical="center"/>
    </xf>
    <xf numFmtId="10" fontId="67" fillId="0" borderId="1" xfId="2" applyNumberFormat="1" applyFont="1" applyBorder="1"/>
    <xf numFmtId="10" fontId="72" fillId="0" borderId="0" xfId="2" applyNumberFormat="1" applyFont="1" applyBorder="1"/>
    <xf numFmtId="10" fontId="68" fillId="2" borderId="0" xfId="2" applyNumberFormat="1" applyFont="1" applyFill="1" applyBorder="1"/>
    <xf numFmtId="10" fontId="71" fillId="0" borderId="0" xfId="2" applyNumberFormat="1" applyFont="1" applyBorder="1"/>
    <xf numFmtId="10" fontId="66" fillId="0" borderId="1" xfId="2" applyNumberFormat="1" applyFont="1" applyBorder="1"/>
    <xf numFmtId="43" fontId="36" fillId="0" borderId="0" xfId="1" applyFont="1" applyBorder="1"/>
    <xf numFmtId="43" fontId="35" fillId="0" borderId="1" xfId="1" applyFont="1" applyFill="1" applyBorder="1" applyProtection="1">
      <protection locked="0"/>
    </xf>
    <xf numFmtId="43" fontId="35" fillId="0" borderId="0" xfId="1" applyFont="1" applyFill="1" applyProtection="1">
      <protection locked="0"/>
    </xf>
    <xf numFmtId="0" fontId="78" fillId="11" borderId="1" xfId="0" applyFont="1" applyFill="1" applyBorder="1" applyAlignment="1">
      <alignment horizontal="center" vertical="center"/>
    </xf>
    <xf numFmtId="0" fontId="79" fillId="0" borderId="0" xfId="0" applyFont="1"/>
    <xf numFmtId="0" fontId="80" fillId="0" borderId="0" xfId="0" applyFont="1"/>
    <xf numFmtId="0" fontId="0" fillId="0" borderId="18" xfId="0" applyBorder="1"/>
    <xf numFmtId="0" fontId="81" fillId="0" borderId="0" xfId="0" applyFont="1"/>
    <xf numFmtId="0" fontId="81" fillId="0" borderId="7" xfId="0" applyFont="1" applyBorder="1"/>
    <xf numFmtId="0" fontId="81" fillId="0" borderId="5" xfId="0" applyFont="1" applyBorder="1"/>
    <xf numFmtId="0" fontId="81" fillId="0" borderId="6" xfId="0" applyFont="1" applyBorder="1"/>
    <xf numFmtId="0" fontId="81" fillId="0" borderId="9" xfId="0" applyFont="1" applyBorder="1"/>
    <xf numFmtId="49" fontId="67" fillId="0" borderId="0" xfId="0" applyNumberFormat="1" applyFont="1" applyAlignment="1">
      <alignment horizontal="center"/>
    </xf>
    <xf numFmtId="0" fontId="83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66" fillId="0" borderId="0" xfId="0" applyFont="1" applyAlignment="1">
      <alignment horizontal="center"/>
    </xf>
    <xf numFmtId="49" fontId="67" fillId="3" borderId="0" xfId="0" applyNumberFormat="1" applyFont="1" applyFill="1" applyAlignment="1">
      <alignment horizontal="center"/>
    </xf>
    <xf numFmtId="0" fontId="67" fillId="3" borderId="0" xfId="0" applyFont="1" applyFill="1"/>
    <xf numFmtId="0" fontId="67" fillId="3" borderId="0" xfId="0" applyFont="1" applyFill="1" applyAlignment="1">
      <alignment horizontal="center"/>
    </xf>
    <xf numFmtId="49" fontId="67" fillId="4" borderId="0" xfId="0" applyNumberFormat="1" applyFont="1" applyFill="1" applyAlignment="1">
      <alignment horizontal="center"/>
    </xf>
    <xf numFmtId="0" fontId="67" fillId="4" borderId="0" xfId="0" applyFont="1" applyFill="1" applyAlignment="1">
      <alignment horizontal="center"/>
    </xf>
    <xf numFmtId="49" fontId="67" fillId="0" borderId="0" xfId="0" applyNumberFormat="1" applyFont="1" applyAlignment="1">
      <alignment horizontal="center" vertical="center"/>
    </xf>
    <xf numFmtId="49" fontId="83" fillId="0" borderId="0" xfId="0" applyNumberFormat="1" applyFont="1" applyAlignment="1">
      <alignment horizontal="center" vertical="center"/>
    </xf>
    <xf numFmtId="49" fontId="67" fillId="4" borderId="0" xfId="0" applyNumberFormat="1" applyFont="1" applyFill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67" fillId="0" borderId="0" xfId="0" applyFont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left" vertical="center"/>
    </xf>
    <xf numFmtId="0" fontId="67" fillId="0" borderId="1" xfId="0" applyFont="1" applyBorder="1"/>
    <xf numFmtId="43" fontId="67" fillId="0" borderId="1" xfId="0" applyNumberFormat="1" applyFont="1" applyBorder="1"/>
    <xf numFmtId="43" fontId="66" fillId="0" borderId="1" xfId="1" applyFont="1" applyBorder="1" applyAlignment="1">
      <alignment horizontal="left" vertical="center"/>
    </xf>
    <xf numFmtId="9" fontId="66" fillId="0" borderId="1" xfId="2" applyFont="1" applyBorder="1" applyAlignment="1">
      <alignment horizontal="center" vertical="center"/>
    </xf>
    <xf numFmtId="43" fontId="66" fillId="0" borderId="1" xfId="2" applyNumberFormat="1" applyFont="1" applyBorder="1" applyAlignment="1">
      <alignment horizontal="left" vertical="center"/>
    </xf>
    <xf numFmtId="43" fontId="67" fillId="0" borderId="0" xfId="0" applyNumberFormat="1" applyFont="1"/>
    <xf numFmtId="0" fontId="67" fillId="0" borderId="6" xfId="0" applyFont="1" applyBorder="1"/>
    <xf numFmtId="43" fontId="67" fillId="0" borderId="6" xfId="0" applyNumberFormat="1" applyFont="1" applyBorder="1"/>
    <xf numFmtId="43" fontId="67" fillId="3" borderId="0" xfId="0" applyNumberFormat="1" applyFont="1" applyFill="1"/>
    <xf numFmtId="43" fontId="66" fillId="0" borderId="0" xfId="1" applyFont="1"/>
    <xf numFmtId="9" fontId="66" fillId="0" borderId="0" xfId="2" applyFont="1"/>
    <xf numFmtId="43" fontId="66" fillId="0" borderId="1" xfId="1" applyFont="1" applyBorder="1" applyAlignment="1">
      <alignment horizontal="center" vertical="center"/>
    </xf>
    <xf numFmtId="0" fontId="84" fillId="11" borderId="1" xfId="0" applyFont="1" applyFill="1" applyBorder="1" applyAlignment="1">
      <alignment horizontal="center" vertical="center"/>
    </xf>
    <xf numFmtId="10" fontId="66" fillId="0" borderId="1" xfId="1" applyNumberFormat="1" applyFont="1" applyBorder="1" applyAlignment="1">
      <alignment horizontal="center" vertical="center"/>
    </xf>
    <xf numFmtId="0" fontId="67" fillId="0" borderId="0" xfId="0" applyFont="1" applyAlignment="1">
      <alignment horizontal="right"/>
    </xf>
    <xf numFmtId="10" fontId="66" fillId="0" borderId="0" xfId="2" applyNumberFormat="1" applyFont="1"/>
    <xf numFmtId="10" fontId="66" fillId="0" borderId="1" xfId="2" applyNumberFormat="1" applyFont="1" applyBorder="1" applyAlignment="1">
      <alignment horizontal="center" vertical="center"/>
    </xf>
    <xf numFmtId="0" fontId="74" fillId="11" borderId="0" xfId="0" applyFont="1" applyFill="1"/>
    <xf numFmtId="0" fontId="85" fillId="0" borderId="0" xfId="0" applyFont="1"/>
    <xf numFmtId="43" fontId="86" fillId="0" borderId="0" xfId="1" applyFont="1"/>
    <xf numFmtId="0" fontId="87" fillId="0" borderId="0" xfId="0" applyFont="1"/>
    <xf numFmtId="2" fontId="87" fillId="0" borderId="0" xfId="0" applyNumberFormat="1" applyFont="1" applyAlignment="1">
      <alignment horizontal="left"/>
    </xf>
    <xf numFmtId="0" fontId="87" fillId="0" borderId="0" xfId="0" applyFont="1" applyAlignment="1">
      <alignment horizontal="left"/>
    </xf>
    <xf numFmtId="0" fontId="76" fillId="0" borderId="0" xfId="0" applyFont="1"/>
    <xf numFmtId="0" fontId="66" fillId="3" borderId="1" xfId="0" applyFont="1" applyFill="1" applyBorder="1" applyAlignment="1">
      <alignment horizontal="left" vertical="center" wrapText="1"/>
    </xf>
    <xf numFmtId="0" fontId="66" fillId="3" borderId="1" xfId="0" applyFont="1" applyFill="1" applyBorder="1" applyAlignment="1">
      <alignment vertical="center" wrapText="1"/>
    </xf>
    <xf numFmtId="0" fontId="66" fillId="3" borderId="0" xfId="0" applyFont="1" applyFill="1"/>
    <xf numFmtId="43" fontId="66" fillId="3" borderId="1" xfId="1" applyFont="1" applyFill="1" applyBorder="1"/>
    <xf numFmtId="0" fontId="88" fillId="0" borderId="0" xfId="0" applyFont="1"/>
    <xf numFmtId="0" fontId="90" fillId="0" borderId="0" xfId="0" applyFont="1"/>
    <xf numFmtId="0" fontId="90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89" fillId="11" borderId="26" xfId="0" applyFont="1" applyFill="1" applyBorder="1" applyAlignment="1">
      <alignment horizontal="center" vertical="center"/>
    </xf>
    <xf numFmtId="0" fontId="88" fillId="0" borderId="1" xfId="0" applyFont="1" applyBorder="1"/>
    <xf numFmtId="0" fontId="88" fillId="0" borderId="0" xfId="0" applyFont="1" applyAlignment="1">
      <alignment horizontal="left" indent="1"/>
    </xf>
    <xf numFmtId="0" fontId="90" fillId="0" borderId="1" xfId="0" applyFont="1" applyBorder="1" applyAlignment="1">
      <alignment horizontal="left" indent="1"/>
    </xf>
    <xf numFmtId="0" fontId="88" fillId="0" borderId="1" xfId="0" applyFont="1" applyBorder="1" applyAlignment="1">
      <alignment horizontal="left" indent="1"/>
    </xf>
    <xf numFmtId="43" fontId="88" fillId="0" borderId="1" xfId="1" applyFont="1" applyBorder="1"/>
    <xf numFmtId="43" fontId="90" fillId="0" borderId="1" xfId="1" applyFont="1" applyBorder="1"/>
    <xf numFmtId="43" fontId="90" fillId="14" borderId="1" xfId="1" applyFont="1" applyFill="1" applyBorder="1"/>
    <xf numFmtId="43" fontId="88" fillId="14" borderId="1" xfId="1" applyFont="1" applyFill="1" applyBorder="1"/>
    <xf numFmtId="0" fontId="90" fillId="14" borderId="1" xfId="0" applyFont="1" applyFill="1" applyBorder="1" applyAlignment="1">
      <alignment horizontal="left" indent="1"/>
    </xf>
    <xf numFmtId="0" fontId="92" fillId="11" borderId="26" xfId="0" applyFont="1" applyFill="1" applyBorder="1" applyAlignment="1">
      <alignment horizontal="center" vertical="center"/>
    </xf>
    <xf numFmtId="0" fontId="93" fillId="0" borderId="0" xfId="0" applyFont="1"/>
    <xf numFmtId="0" fontId="57" fillId="0" borderId="0" xfId="0" applyFont="1" applyAlignment="1">
      <alignment vertical="center"/>
    </xf>
    <xf numFmtId="43" fontId="17" fillId="0" borderId="19" xfId="1" applyFont="1" applyBorder="1" applyAlignment="1">
      <alignment horizontal="center" vertical="center"/>
    </xf>
    <xf numFmtId="43" fontId="17" fillId="0" borderId="20" xfId="1" applyFont="1" applyBorder="1" applyAlignment="1">
      <alignment horizontal="center" vertical="center"/>
    </xf>
    <xf numFmtId="43" fontId="17" fillId="0" borderId="17" xfId="1" applyFont="1" applyBorder="1" applyAlignment="1">
      <alignment horizontal="center" vertical="center"/>
    </xf>
    <xf numFmtId="0" fontId="56" fillId="3" borderId="14" xfId="0" applyFont="1" applyFill="1" applyBorder="1" applyAlignment="1">
      <alignment horizontal="center" vertical="center" wrapText="1"/>
    </xf>
    <xf numFmtId="0" fontId="56" fillId="3" borderId="16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14" fontId="17" fillId="0" borderId="19" xfId="0" applyNumberFormat="1" applyFont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9" fontId="17" fillId="0" borderId="19" xfId="2" applyFont="1" applyBorder="1" applyAlignment="1">
      <alignment horizontal="center" vertical="center"/>
    </xf>
    <xf numFmtId="9" fontId="17" fillId="0" borderId="20" xfId="2" applyFont="1" applyBorder="1" applyAlignment="1">
      <alignment horizontal="center" vertical="center"/>
    </xf>
    <xf numFmtId="9" fontId="17" fillId="0" borderId="17" xfId="2" applyFont="1" applyBorder="1" applyAlignment="1">
      <alignment horizontal="center" vertical="center"/>
    </xf>
    <xf numFmtId="0" fontId="56" fillId="14" borderId="1" xfId="0" applyFont="1" applyFill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13" borderId="1" xfId="0" applyFont="1" applyFill="1" applyBorder="1" applyAlignment="1">
      <alignment horizontal="center" vertical="center"/>
    </xf>
    <xf numFmtId="0" fontId="56" fillId="4" borderId="1" xfId="0" applyFont="1" applyFill="1" applyBorder="1" applyAlignment="1">
      <alignment horizontal="center" vertical="center"/>
    </xf>
    <xf numFmtId="0" fontId="56" fillId="3" borderId="1" xfId="0" applyFont="1" applyFill="1" applyBorder="1" applyAlignment="1">
      <alignment horizontal="center" vertical="center"/>
    </xf>
    <xf numFmtId="0" fontId="56" fillId="0" borderId="19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top"/>
    </xf>
    <xf numFmtId="0" fontId="30" fillId="0" borderId="17" xfId="0" applyFont="1" applyBorder="1" applyAlignment="1">
      <alignment horizontal="center" vertical="top"/>
    </xf>
    <xf numFmtId="0" fontId="30" fillId="0" borderId="20" xfId="0" applyFont="1" applyBorder="1" applyAlignment="1">
      <alignment horizontal="center" vertical="top" wrapText="1"/>
    </xf>
    <xf numFmtId="0" fontId="30" fillId="0" borderId="17" xfId="0" applyFont="1" applyBorder="1" applyAlignment="1">
      <alignment horizontal="center" vertical="top" wrapText="1"/>
    </xf>
    <xf numFmtId="0" fontId="82" fillId="11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left" vertical="top" wrapText="1"/>
    </xf>
    <xf numFmtId="0" fontId="44" fillId="11" borderId="0" xfId="0" applyFont="1" applyFill="1" applyAlignment="1">
      <alignment horizontal="center" vertical="center"/>
    </xf>
    <xf numFmtId="43" fontId="39" fillId="8" borderId="6" xfId="1" applyFont="1" applyFill="1" applyBorder="1" applyAlignment="1">
      <alignment horizontal="center"/>
    </xf>
    <xf numFmtId="43" fontId="39" fillId="3" borderId="6" xfId="1" applyFont="1" applyFill="1" applyBorder="1" applyAlignment="1">
      <alignment horizontal="center"/>
    </xf>
    <xf numFmtId="43" fontId="39" fillId="7" borderId="6" xfId="1" applyFont="1" applyFill="1" applyBorder="1" applyAlignment="1">
      <alignment horizontal="center"/>
    </xf>
    <xf numFmtId="43" fontId="39" fillId="9" borderId="6" xfId="1" applyFont="1" applyFill="1" applyBorder="1" applyAlignment="1">
      <alignment horizontal="center"/>
    </xf>
    <xf numFmtId="43" fontId="49" fillId="2" borderId="6" xfId="1" applyFont="1" applyFill="1" applyBorder="1" applyAlignment="1">
      <alignment horizontal="center"/>
    </xf>
    <xf numFmtId="43" fontId="49" fillId="11" borderId="0" xfId="1" applyFont="1" applyFill="1" applyAlignment="1">
      <alignment horizontal="center"/>
    </xf>
    <xf numFmtId="0" fontId="67" fillId="0" borderId="0" xfId="0" applyFont="1" applyAlignment="1">
      <alignment horizontal="center"/>
    </xf>
    <xf numFmtId="0" fontId="68" fillId="11" borderId="0" xfId="0" applyFont="1" applyFill="1" applyAlignment="1">
      <alignment horizontal="center" vertical="center"/>
    </xf>
    <xf numFmtId="0" fontId="76" fillId="0" borderId="1" xfId="0" applyFont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/>
    </xf>
    <xf numFmtId="0" fontId="74" fillId="2" borderId="0" xfId="0" applyFont="1" applyFill="1" applyAlignment="1">
      <alignment horizontal="center" vertical="center"/>
    </xf>
    <xf numFmtId="0" fontId="21" fillId="11" borderId="1" xfId="0" applyFont="1" applyFill="1" applyBorder="1" applyAlignment="1">
      <alignment horizontal="center" vertical="center" textRotation="255"/>
    </xf>
    <xf numFmtId="0" fontId="21" fillId="11" borderId="1" xfId="0" applyFont="1" applyFill="1" applyBorder="1" applyAlignment="1">
      <alignment horizontal="center" vertical="center"/>
    </xf>
    <xf numFmtId="0" fontId="28" fillId="11" borderId="0" xfId="0" applyFont="1" applyFill="1" applyAlignment="1">
      <alignment horizontal="center" vertical="center"/>
    </xf>
    <xf numFmtId="0" fontId="25" fillId="0" borderId="1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12" borderId="14" xfId="0" applyFont="1" applyFill="1" applyBorder="1" applyAlignment="1">
      <alignment horizontal="left" vertical="center" wrapText="1"/>
    </xf>
    <xf numFmtId="0" fontId="25" fillId="12" borderId="15" xfId="0" applyFont="1" applyFill="1" applyBorder="1" applyAlignment="1">
      <alignment horizontal="left" vertical="center" wrapText="1"/>
    </xf>
    <xf numFmtId="0" fontId="25" fillId="12" borderId="16" xfId="0" applyFont="1" applyFill="1" applyBorder="1" applyAlignment="1">
      <alignment horizontal="left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14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43" fontId="35" fillId="3" borderId="1" xfId="1" applyFont="1" applyFill="1" applyBorder="1" applyAlignment="1">
      <alignment horizontal="center"/>
    </xf>
    <xf numFmtId="0" fontId="36" fillId="3" borderId="1" xfId="0" applyFont="1" applyFill="1" applyBorder="1" applyAlignment="1">
      <alignment horizontal="left" vertical="center" wrapText="1"/>
    </xf>
    <xf numFmtId="0" fontId="66" fillId="19" borderId="0" xfId="0" applyFont="1" applyFill="1" applyAlignment="1">
      <alignment horizontal="center" vertical="center"/>
    </xf>
    <xf numFmtId="0" fontId="68" fillId="5" borderId="0" xfId="0" applyFont="1" applyFill="1" applyAlignment="1">
      <alignment horizontal="center" vertical="center"/>
    </xf>
    <xf numFmtId="0" fontId="83" fillId="0" borderId="0" xfId="0" applyFont="1" applyAlignment="1">
      <alignment horizontal="left" vertical="center"/>
    </xf>
    <xf numFmtId="0" fontId="91" fillId="11" borderId="0" xfId="0" applyFont="1" applyFill="1" applyAlignment="1">
      <alignment horizontal="center" vertical="center"/>
    </xf>
    <xf numFmtId="0" fontId="94" fillId="0" borderId="0" xfId="0" applyFont="1"/>
    <xf numFmtId="0" fontId="95" fillId="11" borderId="0" xfId="0" applyFont="1" applyFill="1" applyAlignment="1">
      <alignment horizontal="center" vertical="center" wrapText="1"/>
    </xf>
    <xf numFmtId="0" fontId="94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6" fillId="0" borderId="1" xfId="0" applyFont="1" applyBorder="1" applyAlignment="1">
      <alignment horizontal="center" vertical="center"/>
    </xf>
    <xf numFmtId="0" fontId="95" fillId="5" borderId="0" xfId="0" applyFont="1" applyFill="1" applyAlignment="1">
      <alignment horizontal="center" vertical="center" wrapText="1"/>
    </xf>
    <xf numFmtId="0" fontId="94" fillId="0" borderId="9" xfId="0" applyFont="1" applyBorder="1" applyAlignment="1">
      <alignment vertical="center"/>
    </xf>
    <xf numFmtId="0" fontId="94" fillId="0" borderId="6" xfId="0" applyFont="1" applyBorder="1" applyAlignment="1">
      <alignment vertical="center"/>
    </xf>
    <xf numFmtId="0" fontId="94" fillId="0" borderId="7" xfId="0" applyFont="1" applyBorder="1" applyAlignment="1">
      <alignment vertical="center"/>
    </xf>
    <xf numFmtId="0" fontId="94" fillId="0" borderId="5" xfId="0" applyFont="1" applyBorder="1" applyAlignment="1">
      <alignment vertical="center"/>
    </xf>
    <xf numFmtId="0" fontId="94" fillId="0" borderId="0" xfId="0" applyFont="1" applyAlignment="1">
      <alignment horizontal="center" vertical="center"/>
    </xf>
    <xf numFmtId="0" fontId="94" fillId="0" borderId="12" xfId="0" applyFont="1" applyBorder="1" applyAlignment="1">
      <alignment vertical="center"/>
    </xf>
    <xf numFmtId="0" fontId="94" fillId="0" borderId="0" xfId="0" applyFont="1" applyAlignment="1">
      <alignment horizontal="center" vertical="center"/>
    </xf>
    <xf numFmtId="0" fontId="94" fillId="0" borderId="6" xfId="0" applyFont="1" applyBorder="1" applyAlignment="1">
      <alignment horizontal="center" vertical="center"/>
    </xf>
    <xf numFmtId="0" fontId="95" fillId="20" borderId="0" xfId="0" applyFont="1" applyFill="1" applyAlignment="1">
      <alignment horizontal="center" vertical="center" wrapText="1"/>
    </xf>
    <xf numFmtId="0" fontId="96" fillId="0" borderId="0" xfId="0" applyFont="1" applyAlignment="1">
      <alignment horizontal="center" vertical="center"/>
    </xf>
    <xf numFmtId="0" fontId="96" fillId="0" borderId="0" xfId="0" applyFont="1" applyAlignment="1">
      <alignment horizontal="center" vertical="center" wrapText="1"/>
    </xf>
    <xf numFmtId="0" fontId="94" fillId="0" borderId="0" xfId="0" applyFont="1" applyAlignment="1">
      <alignment horizontal="right" vertical="center"/>
    </xf>
    <xf numFmtId="0" fontId="96" fillId="0" borderId="7" xfId="0" applyFont="1" applyBorder="1" applyAlignment="1">
      <alignment horizontal="center" vertical="center"/>
    </xf>
    <xf numFmtId="0" fontId="96" fillId="0" borderId="18" xfId="0" applyFont="1" applyBorder="1" applyAlignment="1">
      <alignment horizontal="center" vertical="center"/>
    </xf>
    <xf numFmtId="0" fontId="96" fillId="0" borderId="10" xfId="0" applyFont="1" applyBorder="1" applyAlignment="1">
      <alignment horizontal="center" vertical="center"/>
    </xf>
    <xf numFmtId="0" fontId="97" fillId="0" borderId="14" xfId="0" applyFont="1" applyBorder="1" applyAlignment="1">
      <alignment horizontal="center" vertical="center"/>
    </xf>
    <xf numFmtId="0" fontId="97" fillId="0" borderId="16" xfId="0" applyFont="1" applyBorder="1" applyAlignment="1">
      <alignment horizontal="center" vertical="center"/>
    </xf>
    <xf numFmtId="0" fontId="96" fillId="0" borderId="9" xfId="0" applyFont="1" applyBorder="1" applyAlignment="1">
      <alignment horizontal="center" vertical="center"/>
    </xf>
    <xf numFmtId="0" fontId="96" fillId="0" borderId="12" xfId="0" applyFont="1" applyBorder="1" applyAlignment="1">
      <alignment horizontal="center" vertical="center"/>
    </xf>
    <xf numFmtId="0" fontId="96" fillId="0" borderId="6" xfId="0" applyFont="1" applyBorder="1" applyAlignment="1">
      <alignment horizontal="center" vertical="center"/>
    </xf>
    <xf numFmtId="0" fontId="94" fillId="0" borderId="5" xfId="0" applyFont="1" applyBorder="1" applyAlignment="1">
      <alignment horizontal="center" vertical="center"/>
    </xf>
    <xf numFmtId="0" fontId="94" fillId="0" borderId="0" xfId="0" applyFont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11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CUSTOS E DESPESAS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RECEITAS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600"/>
              <a:t>RECEITAS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8B3-42FA-8DC3-D463CD4D21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8B3-42FA-8DC3-D463CD4D21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8B3-42FA-8DC3-D463CD4D2130}"/>
              </c:ext>
            </c:extLst>
          </c:dPt>
          <c:dLbls>
            <c:dLbl>
              <c:idx val="0"/>
              <c:layout>
                <c:manualLayout>
                  <c:x val="-0.28611111111111109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3-42FA-8DC3-D463CD4D2130}"/>
                </c:ext>
              </c:extLst>
            </c:dLbl>
            <c:dLbl>
              <c:idx val="1"/>
              <c:layout>
                <c:manualLayout>
                  <c:x val="-0.28888888888888886"/>
                  <c:y val="2.31000231000231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B3-42FA-8DC3-D463CD4D2130}"/>
                </c:ext>
              </c:extLst>
            </c:dLbl>
            <c:dLbl>
              <c:idx val="2"/>
              <c:layout>
                <c:manualLayout>
                  <c:x val="0.26388888888888901"/>
                  <c:y val="4.62000462000461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B3-42FA-8DC3-D463CD4D2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DRE!$B$8:$B$10</c:f>
              <c:strCache>
                <c:ptCount val="3"/>
                <c:pt idx="0">
                  <c:v>Receitas de Venda</c:v>
                </c:pt>
                <c:pt idx="1">
                  <c:v>Receitas Financeiras</c:v>
                </c:pt>
                <c:pt idx="2">
                  <c:v>Outras Receitas Operacionais</c:v>
                </c:pt>
              </c:strCache>
            </c:strRef>
          </c:cat>
          <c:val>
            <c:numRef>
              <c:f>DRE!$C$8:$C$10</c:f>
              <c:numCache>
                <c:formatCode>_(* #,##0.00_);_(* \(#,##0.00\);_(* "-"??_);_(@_)</c:formatCode>
                <c:ptCount val="3"/>
                <c:pt idx="0">
                  <c:v>214000</c:v>
                </c:pt>
                <c:pt idx="1">
                  <c:v>500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3-42FA-8DC3-D463CD4D21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CUSTOS E DESPESAS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54A-48E1-978F-F1DB3B1682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54A-48E1-978F-F1DB3B1682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CF4-4B41-A117-18F0C6145C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54A-48E1-978F-F1DB3B1682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54A-48E1-978F-F1DB3B168206}"/>
              </c:ext>
            </c:extLst>
          </c:dPt>
          <c:dLbls>
            <c:dLbl>
              <c:idx val="0"/>
              <c:layout>
                <c:manualLayout>
                  <c:x val="6.5197051480223117E-2"/>
                  <c:y val="-9.240009240009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4A-48E1-978F-F1DB3B168206}"/>
                </c:ext>
              </c:extLst>
            </c:dLbl>
            <c:dLbl>
              <c:idx val="1"/>
              <c:layout>
                <c:manualLayout>
                  <c:x val="5.8651170681381709E-3"/>
                  <c:y val="4.158004158004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4A-48E1-978F-F1DB3B168206}"/>
                </c:ext>
              </c:extLst>
            </c:dLbl>
            <c:dLbl>
              <c:idx val="3"/>
              <c:layout>
                <c:manualLayout>
                  <c:x val="-9.7412820134171574E-2"/>
                  <c:y val="-4.67031537897679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4A-48E1-978F-F1DB3B168206}"/>
                </c:ext>
              </c:extLst>
            </c:dLbl>
            <c:dLbl>
              <c:idx val="4"/>
              <c:layout>
                <c:manualLayout>
                  <c:x val="0.55035991549482532"/>
                  <c:y val="-2.31000231000231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A-48E1-978F-F1DB3B168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DRE!$B$14:$B$18</c:f>
              <c:strCache>
                <c:ptCount val="5"/>
                <c:pt idx="0">
                  <c:v>Custos dos Produtos, Mercadorias e Serviços Vendidos</c:v>
                </c:pt>
                <c:pt idx="1">
                  <c:v>Despesas Administrativas</c:v>
                </c:pt>
                <c:pt idx="2">
                  <c:v>Despesas com Vendas</c:v>
                </c:pt>
                <c:pt idx="3">
                  <c:v>Despesas Financeiras</c:v>
                </c:pt>
                <c:pt idx="4">
                  <c:v>Despesas Tributárias</c:v>
                </c:pt>
              </c:strCache>
            </c:strRef>
          </c:cat>
          <c:val>
            <c:numRef>
              <c:f>DRE!$C$14:$C$18</c:f>
              <c:numCache>
                <c:formatCode>_(* #,##0.00_);_(* \(#,##0.00\);_(* "-"??_);_(@_)</c:formatCode>
                <c:ptCount val="5"/>
                <c:pt idx="0">
                  <c:v>59400</c:v>
                </c:pt>
                <c:pt idx="1">
                  <c:v>5050.6000000000004</c:v>
                </c:pt>
                <c:pt idx="2">
                  <c:v>14938</c:v>
                </c:pt>
                <c:pt idx="3">
                  <c:v>359</c:v>
                </c:pt>
                <c:pt idx="4">
                  <c:v>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A-48E1-978F-F1DB3B16820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GRÁFICOS!$L$12</c:f>
              <c:strCache>
                <c:ptCount val="1"/>
                <c:pt idx="0">
                  <c:v>Bancos Conta Movimento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(GRÁFICOS!$D$3,GRÁFICOS!$F$3,GRÁFICOS!$H$3)</c:f>
              <c:strCache>
                <c:ptCount val="3"/>
                <c:pt idx="0">
                  <c:v>OUTUBRO</c:v>
                </c:pt>
                <c:pt idx="1">
                  <c:v>NOVEMBRO</c:v>
                </c:pt>
                <c:pt idx="2">
                  <c:v>DEZEMBRO</c:v>
                </c:pt>
              </c:strCache>
            </c:strRef>
          </c:cat>
          <c:val>
            <c:numRef>
              <c:f>GRÁFICOS!$M$12:$O$12</c:f>
              <c:numCache>
                <c:formatCode>_(* #,##0.00_);_(* \(#,##0.00\);_(* "-"??_);_(@_)</c:formatCode>
                <c:ptCount val="3"/>
                <c:pt idx="0">
                  <c:v>92700</c:v>
                </c:pt>
                <c:pt idx="1">
                  <c:v>91800</c:v>
                </c:pt>
                <c:pt idx="2">
                  <c:v>116000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C-4081-AF92-9A85AF54F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0881727"/>
        <c:axId val="1780858687"/>
      </c:barChart>
      <c:catAx>
        <c:axId val="1780881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0858687"/>
        <c:crosses val="autoZero"/>
        <c:auto val="1"/>
        <c:lblAlgn val="ctr"/>
        <c:lblOffset val="100"/>
        <c:noMultiLvlLbl val="0"/>
      </c:catAx>
      <c:valAx>
        <c:axId val="178085868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crossAx val="1780881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GRÁFICOS!$L$13</c:f>
              <c:strCache>
                <c:ptCount val="1"/>
                <c:pt idx="0">
                  <c:v>PIS a Recolher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(GRÁFICOS!$D$3,GRÁFICOS!$F$3,GRÁFICOS!$H$3)</c:f>
              <c:strCache>
                <c:ptCount val="3"/>
                <c:pt idx="0">
                  <c:v>OUTUBRO</c:v>
                </c:pt>
                <c:pt idx="1">
                  <c:v>NOVEMBRO</c:v>
                </c:pt>
                <c:pt idx="2">
                  <c:v>DEZEMBRO</c:v>
                </c:pt>
              </c:strCache>
            </c:strRef>
          </c:cat>
          <c:val>
            <c:numRef>
              <c:f>GRÁFICOS!$M$13:$O$13</c:f>
              <c:numCache>
                <c:formatCode>_(* #,##0.00_);_(* \(#,##0.00\);_(* "-"??_);_(@_)</c:formatCode>
                <c:ptCount val="3"/>
                <c:pt idx="0">
                  <c:v>409.50000000000006</c:v>
                </c:pt>
                <c:pt idx="1">
                  <c:v>1027</c:v>
                </c:pt>
                <c:pt idx="2">
                  <c:v>1391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7-4D4E-99F5-19B875B7D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0862047"/>
        <c:axId val="1780888447"/>
      </c:barChart>
      <c:catAx>
        <c:axId val="178086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0888447"/>
        <c:crosses val="autoZero"/>
        <c:auto val="1"/>
        <c:lblAlgn val="ctr"/>
        <c:lblOffset val="100"/>
        <c:noMultiLvlLbl val="0"/>
      </c:catAx>
      <c:valAx>
        <c:axId val="1780888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178086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GRÁFICOS!$M$30</c:f>
              <c:strCache>
                <c:ptCount val="1"/>
                <c:pt idx="0">
                  <c:v>Venda de Produtos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(GRÁFICOS!$D$24,GRÁFICOS!$F$24,GRÁFICOS!$H$24)</c:f>
              <c:strCache>
                <c:ptCount val="3"/>
                <c:pt idx="0">
                  <c:v>OUTUBRO</c:v>
                </c:pt>
                <c:pt idx="1">
                  <c:v>NOVEMBRO</c:v>
                </c:pt>
                <c:pt idx="2">
                  <c:v>DEZEMBRO</c:v>
                </c:pt>
              </c:strCache>
            </c:strRef>
          </c:cat>
          <c:val>
            <c:numRef>
              <c:f>GRÁFICOS!$N$30:$P$30</c:f>
              <c:numCache>
                <c:formatCode>_(* #,##0.00_);_(* \(#,##0.00\);_(*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C-42B8-9C0F-102752D84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0637231"/>
        <c:axId val="1650630511"/>
      </c:barChart>
      <c:catAx>
        <c:axId val="165063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0630511"/>
        <c:crosses val="autoZero"/>
        <c:auto val="1"/>
        <c:lblAlgn val="ctr"/>
        <c:lblOffset val="100"/>
        <c:noMultiLvlLbl val="0"/>
      </c:catAx>
      <c:valAx>
        <c:axId val="16506305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1650637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GRÁFICOS!$M$31</c:f>
              <c:strCache>
                <c:ptCount val="1"/>
                <c:pt idx="0">
                  <c:v>INSS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(GRÁFICOS!$D$24,GRÁFICOS!$F$24,GRÁFICOS!$H$24)</c:f>
              <c:strCache>
                <c:ptCount val="3"/>
                <c:pt idx="0">
                  <c:v>OUTUBRO</c:v>
                </c:pt>
                <c:pt idx="1">
                  <c:v>NOVEMBRO</c:v>
                </c:pt>
                <c:pt idx="2">
                  <c:v>DEZEMBRO</c:v>
                </c:pt>
              </c:strCache>
            </c:strRef>
          </c:cat>
          <c:val>
            <c:numRef>
              <c:f>GRÁFICOS!$N$31:$P$31</c:f>
              <c:numCache>
                <c:formatCode>_(* #,##0.00_);_(* \(#,##0.00\);_(* "-"??_);_(@_)</c:formatCode>
                <c:ptCount val="3"/>
                <c:pt idx="0">
                  <c:v>834</c:v>
                </c:pt>
                <c:pt idx="1">
                  <c:v>1946</c:v>
                </c:pt>
                <c:pt idx="2">
                  <c:v>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3-4F40-B75B-1F40FB1D8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9358800"/>
        <c:axId val="1109358320"/>
      </c:barChart>
      <c:catAx>
        <c:axId val="110935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9358320"/>
        <c:crosses val="autoZero"/>
        <c:auto val="1"/>
        <c:lblAlgn val="ctr"/>
        <c:lblOffset val="100"/>
        <c:noMultiLvlLbl val="0"/>
      </c:catAx>
      <c:valAx>
        <c:axId val="11093583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110935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6" fmlaLink="$J$3" max="39" min="1" page="10" val="5"/>
</file>

<file path=xl/ctrlProps/ctrlProp2.xml><?xml version="1.0" encoding="utf-8"?>
<formControlPr xmlns="http://schemas.microsoft.com/office/spreadsheetml/2009/9/main" objectType="Spin" dx="26" fmlaLink="$K$3" max="43" min="1" page="10" val="12"/>
</file>

<file path=xl/ctrlProps/ctrlProp3.xml><?xml version="1.0" encoding="utf-8"?>
<formControlPr xmlns="http://schemas.microsoft.com/office/spreadsheetml/2009/9/main" objectType="Spin" dx="26" fmlaLink="$J$24" max="17" min="1" page="10" val="4"/>
</file>

<file path=xl/ctrlProps/ctrlProp4.xml><?xml version="1.0" encoding="utf-8"?>
<formControlPr xmlns="http://schemas.microsoft.com/office/spreadsheetml/2009/9/main" objectType="Spin" dx="26" fmlaLink="$K$24" max="21" min="1" page="10" val="14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#'PLANO DE CONTAS'!A1"/><Relationship Id="rId18" Type="http://schemas.openxmlformats.org/officeDocument/2006/relationships/hyperlink" Target="#DEPRECIA&#199;&#195;O!A1"/><Relationship Id="rId26" Type="http://schemas.openxmlformats.org/officeDocument/2006/relationships/image" Target="../media/image16.png"/><Relationship Id="rId3" Type="http://schemas.openxmlformats.org/officeDocument/2006/relationships/hyperlink" Target="#DI&#193;RIO!A1"/><Relationship Id="rId21" Type="http://schemas.openxmlformats.org/officeDocument/2006/relationships/image" Target="../media/image13.png"/><Relationship Id="rId7" Type="http://schemas.openxmlformats.org/officeDocument/2006/relationships/hyperlink" Target="#BALANCETE!A1"/><Relationship Id="rId12" Type="http://schemas.openxmlformats.org/officeDocument/2006/relationships/image" Target="../media/image8.png"/><Relationship Id="rId17" Type="http://schemas.openxmlformats.org/officeDocument/2006/relationships/image" Target="../media/image11.png"/><Relationship Id="rId25" Type="http://schemas.openxmlformats.org/officeDocument/2006/relationships/image" Target="../media/image15.png"/><Relationship Id="rId2" Type="http://schemas.openxmlformats.org/officeDocument/2006/relationships/image" Target="../media/image3.png"/><Relationship Id="rId16" Type="http://schemas.openxmlformats.org/officeDocument/2006/relationships/image" Target="../media/image10.png"/><Relationship Id="rId20" Type="http://schemas.openxmlformats.org/officeDocument/2006/relationships/hyperlink" Target="#ESTOQUE!A1"/><Relationship Id="rId1" Type="http://schemas.openxmlformats.org/officeDocument/2006/relationships/hyperlink" Target="#LAN&#199;AMENTOS!A1"/><Relationship Id="rId6" Type="http://schemas.openxmlformats.org/officeDocument/2006/relationships/image" Target="../media/image5.png"/><Relationship Id="rId11" Type="http://schemas.openxmlformats.org/officeDocument/2006/relationships/hyperlink" Target="#DRE!A1"/><Relationship Id="rId24" Type="http://schemas.openxmlformats.org/officeDocument/2006/relationships/hyperlink" Target="#GR&#193;FICOS!A1"/><Relationship Id="rId5" Type="http://schemas.openxmlformats.org/officeDocument/2006/relationships/hyperlink" Target="#RAZ&#195;O!A1"/><Relationship Id="rId15" Type="http://schemas.openxmlformats.org/officeDocument/2006/relationships/hyperlink" Target="#APURA&#199;&#195;O!A1"/><Relationship Id="rId23" Type="http://schemas.openxmlformats.org/officeDocument/2006/relationships/image" Target="../media/image14.png"/><Relationship Id="rId28" Type="http://schemas.openxmlformats.org/officeDocument/2006/relationships/image" Target="../media/image17.png"/><Relationship Id="rId10" Type="http://schemas.openxmlformats.org/officeDocument/2006/relationships/image" Target="../media/image7.png"/><Relationship Id="rId19" Type="http://schemas.openxmlformats.org/officeDocument/2006/relationships/image" Target="../media/image12.png"/><Relationship Id="rId4" Type="http://schemas.openxmlformats.org/officeDocument/2006/relationships/image" Target="../media/image4.png"/><Relationship Id="rId9" Type="http://schemas.openxmlformats.org/officeDocument/2006/relationships/hyperlink" Target="#BALAN&#199;O!A1"/><Relationship Id="rId14" Type="http://schemas.openxmlformats.org/officeDocument/2006/relationships/image" Target="../media/image9.png"/><Relationship Id="rId22" Type="http://schemas.openxmlformats.org/officeDocument/2006/relationships/hyperlink" Target="#EXTRATO!A1"/><Relationship Id="rId27" Type="http://schemas.openxmlformats.org/officeDocument/2006/relationships/hyperlink" Target="#ANOTA&#199;&#213;E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hyperlink" Target="#INDICE!A1"/><Relationship Id="rId4" Type="http://schemas.openxmlformats.org/officeDocument/2006/relationships/image" Target="https://bankline.itau.com.br/V1/UNICLASS/IMG/HeaderExtratoExcel.jpg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PIS E COFINS'!A1"/><Relationship Id="rId13" Type="http://schemas.openxmlformats.org/officeDocument/2006/relationships/image" Target="../media/image26.png"/><Relationship Id="rId3" Type="http://schemas.openxmlformats.org/officeDocument/2006/relationships/image" Target="../media/image20.png"/><Relationship Id="rId7" Type="http://schemas.openxmlformats.org/officeDocument/2006/relationships/image" Target="../media/image23.png"/><Relationship Id="rId12" Type="http://schemas.openxmlformats.org/officeDocument/2006/relationships/hyperlink" Target="#'EFD ICMS IPI'!A1"/><Relationship Id="rId2" Type="http://schemas.openxmlformats.org/officeDocument/2006/relationships/hyperlink" Target="#INDICE!A1"/><Relationship Id="rId1" Type="http://schemas.openxmlformats.org/officeDocument/2006/relationships/image" Target="../media/image21.png"/><Relationship Id="rId6" Type="http://schemas.openxmlformats.org/officeDocument/2006/relationships/hyperlink" Target="#ICMS!A1"/><Relationship Id="rId11" Type="http://schemas.openxmlformats.org/officeDocument/2006/relationships/image" Target="../media/image25.png"/><Relationship Id="rId5" Type="http://schemas.openxmlformats.org/officeDocument/2006/relationships/image" Target="../media/image22.png"/><Relationship Id="rId15" Type="http://schemas.openxmlformats.org/officeDocument/2006/relationships/image" Target="../media/image27.png"/><Relationship Id="rId10" Type="http://schemas.openxmlformats.org/officeDocument/2006/relationships/hyperlink" Target="#'IRPJ E CSLL'!A1"/><Relationship Id="rId4" Type="http://schemas.openxmlformats.org/officeDocument/2006/relationships/hyperlink" Target="#ISS!A1"/><Relationship Id="rId9" Type="http://schemas.openxmlformats.org/officeDocument/2006/relationships/image" Target="../media/image24.png"/><Relationship Id="rId14" Type="http://schemas.openxmlformats.org/officeDocument/2006/relationships/hyperlink" Target="#'EFD CONTRIBUI&#199;&#213;ES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png"/><Relationship Id="rId2" Type="http://schemas.openxmlformats.org/officeDocument/2006/relationships/image" Target="../media/image31.png"/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BP NBC TG 1002'!A1"/><Relationship Id="rId2" Type="http://schemas.openxmlformats.org/officeDocument/2006/relationships/image" Target="../media/image20.png"/><Relationship Id="rId1" Type="http://schemas.openxmlformats.org/officeDocument/2006/relationships/hyperlink" Target="#INDICE!A1"/><Relationship Id="rId4" Type="http://schemas.openxmlformats.org/officeDocument/2006/relationships/image" Target="../media/image33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3" Type="http://schemas.openxmlformats.org/officeDocument/2006/relationships/chart" Target="../charts/chart1.xml"/><Relationship Id="rId7" Type="http://schemas.openxmlformats.org/officeDocument/2006/relationships/hyperlink" Target="#'DRE NBG TG 1002'!A1"/><Relationship Id="rId2" Type="http://schemas.openxmlformats.org/officeDocument/2006/relationships/image" Target="../media/image34.png"/><Relationship Id="rId1" Type="http://schemas.openxmlformats.org/officeDocument/2006/relationships/hyperlink" Target="#INDICE!A1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6.png"/><Relationship Id="rId1" Type="http://schemas.openxmlformats.org/officeDocument/2006/relationships/hyperlink" Target="#ICMS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APURA&#199;&#195;O!A1"/><Relationship Id="rId2" Type="http://schemas.openxmlformats.org/officeDocument/2006/relationships/image" Target="../media/image37.png"/><Relationship Id="rId1" Type="http://schemas.openxmlformats.org/officeDocument/2006/relationships/hyperlink" Target="#'TABELA ICMS'!A1"/><Relationship Id="rId4" Type="http://schemas.openxmlformats.org/officeDocument/2006/relationships/image" Target="../media/image38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png"/><Relationship Id="rId1" Type="http://schemas.openxmlformats.org/officeDocument/2006/relationships/hyperlink" Target="#APURA&#199;&#195;O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0.png"/><Relationship Id="rId1" Type="http://schemas.openxmlformats.org/officeDocument/2006/relationships/hyperlink" Target="#APURA&#199;&#195;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0.png"/><Relationship Id="rId1" Type="http://schemas.openxmlformats.org/officeDocument/2006/relationships/hyperlink" Target="#APURA&#199;&#195;O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4.png"/><Relationship Id="rId1" Type="http://schemas.openxmlformats.org/officeDocument/2006/relationships/hyperlink" Target="#INDICE!A1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34.png"/><Relationship Id="rId1" Type="http://schemas.openxmlformats.org/officeDocument/2006/relationships/hyperlink" Target="#APURA&#199;&#195;O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png"/><Relationship Id="rId2" Type="http://schemas.openxmlformats.org/officeDocument/2006/relationships/hyperlink" Target="#APURA&#199;&#195;O!A1"/><Relationship Id="rId1" Type="http://schemas.openxmlformats.org/officeDocument/2006/relationships/image" Target="../media/image26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hyperlink" Target="#'EFD ICMS IPI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hyperlink" Target="#'EFD ICMS IPI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hyperlink" Target="#'EFD CONTRIBUI&#199;&#213;ES'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hyperlink" Target="#INDICE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hyperlink" Target="#BALAN&#199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259080</xdr:colOff>
      <xdr:row>0</xdr:row>
      <xdr:rowOff>139066</xdr:rowOff>
    </xdr:from>
    <xdr:to>
      <xdr:col>1</xdr:col>
      <xdr:colOff>618901</xdr:colOff>
      <xdr:row>2</xdr:row>
      <xdr:rowOff>24766</xdr:rowOff>
    </xdr:to>
    <xdr:pic>
      <xdr:nvPicPr>
        <xdr:cNvPr id="3" name="Gráfico 2" descr="Início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820F60-400D-D249-6FE4-2357A981B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49580" y="139066"/>
          <a:ext cx="359821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14</xdr:row>
      <xdr:rowOff>40005</xdr:rowOff>
    </xdr:from>
    <xdr:to>
      <xdr:col>5</xdr:col>
      <xdr:colOff>400186</xdr:colOff>
      <xdr:row>21</xdr:row>
      <xdr:rowOff>171571</xdr:rowOff>
    </xdr:to>
    <xdr:pic>
      <xdr:nvPicPr>
        <xdr:cNvPr id="13" name="Imagem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266950" y="2211705"/>
          <a:ext cx="1560331" cy="1386961"/>
        </a:xfrm>
        <a:prstGeom prst="rect">
          <a:avLst/>
        </a:prstGeom>
      </xdr:spPr>
    </xdr:pic>
    <xdr:clientData/>
  </xdr:twoCellAnchor>
  <xdr:twoCellAnchor editAs="oneCell">
    <xdr:from>
      <xdr:col>6</xdr:col>
      <xdr:colOff>421005</xdr:colOff>
      <xdr:row>9</xdr:row>
      <xdr:rowOff>5715</xdr:rowOff>
    </xdr:from>
    <xdr:to>
      <xdr:col>8</xdr:col>
      <xdr:colOff>247741</xdr:colOff>
      <xdr:row>15</xdr:row>
      <xdr:rowOff>171557</xdr:rowOff>
    </xdr:to>
    <xdr:pic>
      <xdr:nvPicPr>
        <xdr:cNvPr id="16" name="Imagem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488180" y="1272540"/>
          <a:ext cx="1053556" cy="1244072"/>
        </a:xfrm>
        <a:prstGeom prst="rect">
          <a:avLst/>
        </a:prstGeom>
      </xdr:spPr>
    </xdr:pic>
    <xdr:clientData/>
  </xdr:twoCellAnchor>
  <xdr:twoCellAnchor editAs="oneCell">
    <xdr:from>
      <xdr:col>6</xdr:col>
      <xdr:colOff>426720</xdr:colOff>
      <xdr:row>22</xdr:row>
      <xdr:rowOff>179070</xdr:rowOff>
    </xdr:from>
    <xdr:to>
      <xdr:col>8</xdr:col>
      <xdr:colOff>135336</xdr:colOff>
      <xdr:row>28</xdr:row>
      <xdr:rowOff>97251</xdr:rowOff>
    </xdr:to>
    <xdr:pic>
      <xdr:nvPicPr>
        <xdr:cNvPr id="19" name="Imagem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493895" y="3798570"/>
          <a:ext cx="952581" cy="1127856"/>
        </a:xfrm>
        <a:prstGeom prst="rect">
          <a:avLst/>
        </a:prstGeom>
      </xdr:spPr>
    </xdr:pic>
    <xdr:clientData/>
  </xdr:twoCellAnchor>
  <xdr:twoCellAnchor editAs="oneCell">
    <xdr:from>
      <xdr:col>9</xdr:col>
      <xdr:colOff>144781</xdr:colOff>
      <xdr:row>14</xdr:row>
      <xdr:rowOff>111344</xdr:rowOff>
    </xdr:from>
    <xdr:to>
      <xdr:col>11</xdr:col>
      <xdr:colOff>325756</xdr:colOff>
      <xdr:row>21</xdr:row>
      <xdr:rowOff>93469</xdr:rowOff>
    </xdr:to>
    <xdr:pic>
      <xdr:nvPicPr>
        <xdr:cNvPr id="30" name="Imagem 2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202681" y="2283044"/>
          <a:ext cx="1552575" cy="1256570"/>
        </a:xfrm>
        <a:prstGeom prst="rect">
          <a:avLst/>
        </a:prstGeom>
      </xdr:spPr>
    </xdr:pic>
    <xdr:clientData/>
  </xdr:twoCellAnchor>
  <xdr:twoCellAnchor editAs="oneCell">
    <xdr:from>
      <xdr:col>12</xdr:col>
      <xdr:colOff>601980</xdr:colOff>
      <xdr:row>8</xdr:row>
      <xdr:rowOff>114300</xdr:rowOff>
    </xdr:from>
    <xdr:to>
      <xdr:col>14</xdr:col>
      <xdr:colOff>474491</xdr:colOff>
      <xdr:row>15</xdr:row>
      <xdr:rowOff>131022</xdr:rowOff>
    </xdr:to>
    <xdr:pic>
      <xdr:nvPicPr>
        <xdr:cNvPr id="38" name="Imagem 3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9088755" y="1200150"/>
          <a:ext cx="1394606" cy="13716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588645</xdr:colOff>
      <xdr:row>22</xdr:row>
      <xdr:rowOff>57150</xdr:rowOff>
    </xdr:from>
    <xdr:to>
      <xdr:col>14</xdr:col>
      <xdr:colOff>169640</xdr:colOff>
      <xdr:row>28</xdr:row>
      <xdr:rowOff>169660</xdr:rowOff>
    </xdr:to>
    <xdr:pic>
      <xdr:nvPicPr>
        <xdr:cNvPr id="40" name="Imagem 3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9075420" y="3676650"/>
          <a:ext cx="1095470" cy="1324090"/>
        </a:xfrm>
        <a:prstGeom prst="rect">
          <a:avLst/>
        </a:prstGeom>
      </xdr:spPr>
    </xdr:pic>
    <xdr:clientData/>
  </xdr:twoCellAnchor>
  <xdr:twoCellAnchor editAs="oneCell">
    <xdr:from>
      <xdr:col>0</xdr:col>
      <xdr:colOff>559253</xdr:colOff>
      <xdr:row>13</xdr:row>
      <xdr:rowOff>177165</xdr:rowOff>
    </xdr:from>
    <xdr:to>
      <xdr:col>3</xdr:col>
      <xdr:colOff>78720</xdr:colOff>
      <xdr:row>22</xdr:row>
      <xdr:rowOff>34420</xdr:rowOff>
    </xdr:to>
    <xdr:pic>
      <xdr:nvPicPr>
        <xdr:cNvPr id="42" name="Imagem 4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59253" y="2167890"/>
          <a:ext cx="1405417" cy="1486030"/>
        </a:xfrm>
        <a:prstGeom prst="rect">
          <a:avLst/>
        </a:prstGeom>
      </xdr:spPr>
    </xdr:pic>
    <xdr:clientData/>
  </xdr:twoCellAnchor>
  <xdr:twoCellAnchor editAs="oneCell">
    <xdr:from>
      <xdr:col>18</xdr:col>
      <xdr:colOff>59055</xdr:colOff>
      <xdr:row>23</xdr:row>
      <xdr:rowOff>152400</xdr:rowOff>
    </xdr:from>
    <xdr:to>
      <xdr:col>21</xdr:col>
      <xdr:colOff>2042</xdr:colOff>
      <xdr:row>30</xdr:row>
      <xdr:rowOff>21059</xdr:rowOff>
    </xdr:to>
    <xdr:pic>
      <xdr:nvPicPr>
        <xdr:cNvPr id="43" name="Imagem 4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241280" y="4067175"/>
          <a:ext cx="1558427" cy="1190729"/>
        </a:xfrm>
        <a:prstGeom prst="rect">
          <a:avLst/>
        </a:prstGeom>
      </xdr:spPr>
    </xdr:pic>
    <xdr:clientData/>
  </xdr:twoCellAnchor>
  <xdr:twoCellAnchor editAs="oneCell">
    <xdr:from>
      <xdr:col>3</xdr:col>
      <xdr:colOff>125096</xdr:colOff>
      <xdr:row>31</xdr:row>
      <xdr:rowOff>47033</xdr:rowOff>
    </xdr:from>
    <xdr:to>
      <xdr:col>4</xdr:col>
      <xdr:colOff>281729</xdr:colOff>
      <xdr:row>34</xdr:row>
      <xdr:rowOff>75422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30"/>
        <a:stretch/>
      </xdr:blipFill>
      <xdr:spPr>
        <a:xfrm>
          <a:off x="1998346" y="5899616"/>
          <a:ext cx="833966" cy="568139"/>
        </a:xfrm>
        <a:prstGeom prst="rect">
          <a:avLst/>
        </a:prstGeom>
      </xdr:spPr>
    </xdr:pic>
    <xdr:clientData/>
  </xdr:twoCellAnchor>
  <xdr:twoCellAnchor editAs="oneCell">
    <xdr:from>
      <xdr:col>18</xdr:col>
      <xdr:colOff>135255</xdr:colOff>
      <xdr:row>4</xdr:row>
      <xdr:rowOff>108270</xdr:rowOff>
    </xdr:from>
    <xdr:to>
      <xdr:col>20</xdr:col>
      <xdr:colOff>421005</xdr:colOff>
      <xdr:row>9</xdr:row>
      <xdr:rowOff>20193</xdr:rowOff>
    </xdr:to>
    <xdr:pic>
      <xdr:nvPicPr>
        <xdr:cNvPr id="4" name="Imagem 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317480" y="470220"/>
          <a:ext cx="1276350" cy="930039"/>
        </a:xfrm>
        <a:prstGeom prst="rect">
          <a:avLst/>
        </a:prstGeom>
      </xdr:spPr>
    </xdr:pic>
    <xdr:clientData/>
  </xdr:twoCellAnchor>
  <xdr:twoCellAnchor editAs="oneCell">
    <xdr:from>
      <xdr:col>18</xdr:col>
      <xdr:colOff>93345</xdr:colOff>
      <xdr:row>19</xdr:row>
      <xdr:rowOff>62865</xdr:rowOff>
    </xdr:from>
    <xdr:to>
      <xdr:col>20</xdr:col>
      <xdr:colOff>459223</xdr:colOff>
      <xdr:row>23</xdr:row>
      <xdr:rowOff>133427</xdr:rowOff>
    </xdr:to>
    <xdr:pic>
      <xdr:nvPicPr>
        <xdr:cNvPr id="6" name="Imagem 5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580370" y="3177540"/>
          <a:ext cx="1356478" cy="899237"/>
        </a:xfrm>
        <a:prstGeom prst="rect">
          <a:avLst/>
        </a:prstGeom>
      </xdr:spPr>
    </xdr:pic>
    <xdr:clientData/>
  </xdr:twoCellAnchor>
  <xdr:twoCellAnchor editAs="oneCell">
    <xdr:from>
      <xdr:col>18</xdr:col>
      <xdr:colOff>281940</xdr:colOff>
      <xdr:row>10</xdr:row>
      <xdr:rowOff>150495</xdr:rowOff>
    </xdr:from>
    <xdr:to>
      <xdr:col>20</xdr:col>
      <xdr:colOff>358614</xdr:colOff>
      <xdr:row>16</xdr:row>
      <xdr:rowOff>152874</xdr:rowOff>
    </xdr:to>
    <xdr:pic>
      <xdr:nvPicPr>
        <xdr:cNvPr id="9" name="Imagem 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768965" y="1636395"/>
          <a:ext cx="1071084" cy="1088229"/>
        </a:xfrm>
        <a:prstGeom prst="rect">
          <a:avLst/>
        </a:prstGeom>
      </xdr:spPr>
    </xdr:pic>
    <xdr:clientData/>
  </xdr:twoCellAnchor>
  <xdr:twoCellAnchor editAs="oneCell">
    <xdr:from>
      <xdr:col>15</xdr:col>
      <xdr:colOff>510540</xdr:colOff>
      <xdr:row>14</xdr:row>
      <xdr:rowOff>106680</xdr:rowOff>
    </xdr:from>
    <xdr:to>
      <xdr:col>17</xdr:col>
      <xdr:colOff>173036</xdr:colOff>
      <xdr:row>20</xdr:row>
      <xdr:rowOff>164036</xdr:rowOff>
    </xdr:to>
    <xdr:pic>
      <xdr:nvPicPr>
        <xdr:cNvPr id="8" name="Imagem 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317480" y="2339340"/>
          <a:ext cx="963611" cy="1148921"/>
        </a:xfrm>
        <a:prstGeom prst="rect">
          <a:avLst/>
        </a:prstGeom>
      </xdr:spPr>
    </xdr:pic>
    <xdr:clientData/>
  </xdr:twoCellAnchor>
  <xdr:twoCellAnchor editAs="oneCell">
    <xdr:from>
      <xdr:col>1</xdr:col>
      <xdr:colOff>102023</xdr:colOff>
      <xdr:row>0</xdr:row>
      <xdr:rowOff>155129</xdr:rowOff>
    </xdr:from>
    <xdr:to>
      <xdr:col>4</xdr:col>
      <xdr:colOff>467573</xdr:colOff>
      <xdr:row>8</xdr:row>
      <xdr:rowOff>253577</xdr:rowOff>
    </xdr:to>
    <xdr:pic>
      <xdr:nvPicPr>
        <xdr:cNvPr id="2" name="Imagem 1" descr="Conselho Regional de Contabilidade do Piauí | ::Conselho Federal de  Contabilidade::">
          <a:extLst>
            <a:ext uri="{FF2B5EF4-FFF2-40B4-BE49-F238E27FC236}">
              <a16:creationId xmlns:a16="http://schemas.microsoft.com/office/drawing/2014/main" id="{216C2F8B-31F2-A0DE-8B4F-9EB94F7D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440" y="155129"/>
          <a:ext cx="2291716" cy="158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86571</xdr:colOff>
      <xdr:row>29</xdr:row>
      <xdr:rowOff>179916</xdr:rowOff>
    </xdr:from>
    <xdr:to>
      <xdr:col>2</xdr:col>
      <xdr:colOff>386209</xdr:colOff>
      <xdr:row>34</xdr:row>
      <xdr:rowOff>95787</xdr:rowOff>
    </xdr:to>
    <xdr:pic>
      <xdr:nvPicPr>
        <xdr:cNvPr id="10" name="Imagem 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FA0471D5-766B-348E-811C-9E100F168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10988" y="5672666"/>
          <a:ext cx="924054" cy="8154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131445</xdr:rowOff>
    </xdr:from>
    <xdr:to>
      <xdr:col>2</xdr:col>
      <xdr:colOff>19471</xdr:colOff>
      <xdr:row>2</xdr:row>
      <xdr:rowOff>54380</xdr:rowOff>
    </xdr:to>
    <xdr:pic>
      <xdr:nvPicPr>
        <xdr:cNvPr id="5" name="Imagem 4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31445"/>
          <a:ext cx="453811" cy="2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</xdr:colOff>
      <xdr:row>0</xdr:row>
      <xdr:rowOff>67827</xdr:rowOff>
    </xdr:from>
    <xdr:to>
      <xdr:col>4</xdr:col>
      <xdr:colOff>1945005</xdr:colOff>
      <xdr:row>2</xdr:row>
      <xdr:rowOff>55272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1075" y="67827"/>
          <a:ext cx="1925955" cy="36273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</xdr:row>
      <xdr:rowOff>26670</xdr:rowOff>
    </xdr:from>
    <xdr:to>
      <xdr:col>7</xdr:col>
      <xdr:colOff>1</xdr:colOff>
      <xdr:row>7</xdr:row>
      <xdr:rowOff>86240</xdr:rowOff>
    </xdr:to>
    <xdr:pic>
      <xdr:nvPicPr>
        <xdr:cNvPr id="7" name="Picture 17" descr="https://bankline.itau.com.br/V1/UNICLASS/IMG/HeaderExtratoExcel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1" y="621030"/>
          <a:ext cx="4953000" cy="54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15240</xdr:colOff>
      <xdr:row>29</xdr:row>
      <xdr:rowOff>1</xdr:rowOff>
    </xdr:from>
    <xdr:ext cx="5004435" cy="573498"/>
    <xdr:pic>
      <xdr:nvPicPr>
        <xdr:cNvPr id="8" name="Picture 17" descr="https://bankline.itau.com.br/V1/UNICLASS/IMG/HeaderExtratoExcel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4671061"/>
          <a:ext cx="5004435" cy="573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</xdr:colOff>
      <xdr:row>58</xdr:row>
      <xdr:rowOff>1</xdr:rowOff>
    </xdr:from>
    <xdr:ext cx="5004435" cy="573498"/>
    <xdr:pic>
      <xdr:nvPicPr>
        <xdr:cNvPr id="9" name="Picture 17" descr="https://bankline.itau.com.br/V1/UNICLASS/IMG/HeaderExtratoExcel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311641"/>
          <a:ext cx="5004435" cy="573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624841</xdr:colOff>
      <xdr:row>0</xdr:row>
      <xdr:rowOff>30480</xdr:rowOff>
    </xdr:from>
    <xdr:to>
      <xdr:col>1</xdr:col>
      <xdr:colOff>1162051</xdr:colOff>
      <xdr:row>1</xdr:row>
      <xdr:rowOff>172674</xdr:rowOff>
    </xdr:to>
    <xdr:pic>
      <xdr:nvPicPr>
        <xdr:cNvPr id="2" name="Imagem 1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1" y="30480"/>
          <a:ext cx="533400" cy="366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2</xdr:row>
      <xdr:rowOff>110490</xdr:rowOff>
    </xdr:from>
    <xdr:to>
      <xdr:col>1</xdr:col>
      <xdr:colOff>879001</xdr:colOff>
      <xdr:row>3</xdr:row>
      <xdr:rowOff>169545</xdr:rowOff>
    </xdr:to>
    <xdr:pic>
      <xdr:nvPicPr>
        <xdr:cNvPr id="2" name="Imagem 1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29590"/>
          <a:ext cx="431326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3</xdr:row>
      <xdr:rowOff>76200</xdr:rowOff>
    </xdr:from>
    <xdr:to>
      <xdr:col>6</xdr:col>
      <xdr:colOff>266700</xdr:colOff>
      <xdr:row>4</xdr:row>
      <xdr:rowOff>552451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97" t="10466" r="6118" b="9290"/>
        <a:stretch/>
      </xdr:blipFill>
      <xdr:spPr>
        <a:xfrm>
          <a:off x="2981325" y="647700"/>
          <a:ext cx="2162175" cy="65722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12</xdr:col>
      <xdr:colOff>276225</xdr:colOff>
      <xdr:row>3</xdr:row>
      <xdr:rowOff>0</xdr:rowOff>
    </xdr:from>
    <xdr:to>
      <xdr:col>13</xdr:col>
      <xdr:colOff>225497</xdr:colOff>
      <xdr:row>4</xdr:row>
      <xdr:rowOff>209843</xdr:rowOff>
    </xdr:to>
    <xdr:pic>
      <xdr:nvPicPr>
        <xdr:cNvPr id="2" name="Imagem 1" descr="Marcador Seta Png, Transparent Png , Transparent Png Image - PNGitem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542925"/>
          <a:ext cx="558872" cy="377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600075</xdr:colOff>
      <xdr:row>5</xdr:row>
      <xdr:rowOff>152400</xdr:rowOff>
    </xdr:from>
    <xdr:to>
      <xdr:col>7</xdr:col>
      <xdr:colOff>549503</xdr:colOff>
      <xdr:row>8</xdr:row>
      <xdr:rowOff>92624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67275" y="1619250"/>
          <a:ext cx="1164818" cy="475529"/>
        </a:xfrm>
        <a:prstGeom prst="rect">
          <a:avLst/>
        </a:prstGeom>
      </xdr:spPr>
    </xdr:pic>
    <xdr:clientData/>
  </xdr:twoCellAnchor>
  <xdr:twoCellAnchor editAs="oneCell">
    <xdr:from>
      <xdr:col>5</xdr:col>
      <xdr:colOff>588645</xdr:colOff>
      <xdr:row>9</xdr:row>
      <xdr:rowOff>116205</xdr:rowOff>
    </xdr:from>
    <xdr:to>
      <xdr:col>7</xdr:col>
      <xdr:colOff>553313</xdr:colOff>
      <xdr:row>12</xdr:row>
      <xdr:rowOff>58334</xdr:rowOff>
    </xdr:to>
    <xdr:pic>
      <xdr:nvPicPr>
        <xdr:cNvPr id="7" name="Imagem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55845" y="2306955"/>
          <a:ext cx="1170533" cy="481244"/>
        </a:xfrm>
        <a:prstGeom prst="rect">
          <a:avLst/>
        </a:prstGeom>
      </xdr:spPr>
    </xdr:pic>
    <xdr:clientData/>
  </xdr:twoCellAnchor>
  <xdr:twoCellAnchor editAs="oneCell">
    <xdr:from>
      <xdr:col>5</xdr:col>
      <xdr:colOff>569595</xdr:colOff>
      <xdr:row>13</xdr:row>
      <xdr:rowOff>81915</xdr:rowOff>
    </xdr:from>
    <xdr:to>
      <xdr:col>9</xdr:col>
      <xdr:colOff>453972</xdr:colOff>
      <xdr:row>16</xdr:row>
      <xdr:rowOff>20234</xdr:rowOff>
    </xdr:to>
    <xdr:pic>
      <xdr:nvPicPr>
        <xdr:cNvPr id="17" name="Imagem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36795" y="2996565"/>
          <a:ext cx="2322777" cy="477434"/>
        </a:xfrm>
        <a:prstGeom prst="rect">
          <a:avLst/>
        </a:prstGeom>
      </xdr:spPr>
    </xdr:pic>
    <xdr:clientData/>
  </xdr:twoCellAnchor>
  <xdr:twoCellAnchor editAs="oneCell">
    <xdr:from>
      <xdr:col>5</xdr:col>
      <xdr:colOff>567690</xdr:colOff>
      <xdr:row>17</xdr:row>
      <xdr:rowOff>85725</xdr:rowOff>
    </xdr:from>
    <xdr:to>
      <xdr:col>9</xdr:col>
      <xdr:colOff>459687</xdr:colOff>
      <xdr:row>20</xdr:row>
      <xdr:rowOff>16424</xdr:rowOff>
    </xdr:to>
    <xdr:pic>
      <xdr:nvPicPr>
        <xdr:cNvPr id="19" name="Imagem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34890" y="3724275"/>
          <a:ext cx="2330397" cy="46981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</xdr:colOff>
      <xdr:row>6</xdr:row>
      <xdr:rowOff>83820</xdr:rowOff>
    </xdr:from>
    <xdr:to>
      <xdr:col>13</xdr:col>
      <xdr:colOff>514809</xdr:colOff>
      <xdr:row>11</xdr:row>
      <xdr:rowOff>58208</xdr:rowOff>
    </xdr:to>
    <xdr:pic>
      <xdr:nvPicPr>
        <xdr:cNvPr id="3" name="Imagem 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536305" y="1731645"/>
          <a:ext cx="1118694" cy="869738"/>
        </a:xfrm>
        <a:prstGeom prst="rect">
          <a:avLst/>
        </a:prstGeom>
      </xdr:spPr>
    </xdr:pic>
    <xdr:clientData/>
  </xdr:twoCellAnchor>
  <xdr:twoCellAnchor editAs="oneCell">
    <xdr:from>
      <xdr:col>12</xdr:col>
      <xdr:colOff>11429</xdr:colOff>
      <xdr:row>14</xdr:row>
      <xdr:rowOff>86710</xdr:rowOff>
    </xdr:from>
    <xdr:to>
      <xdr:col>14</xdr:col>
      <xdr:colOff>94827</xdr:colOff>
      <xdr:row>18</xdr:row>
      <xdr:rowOff>171042</xdr:rowOff>
    </xdr:to>
    <xdr:pic>
      <xdr:nvPicPr>
        <xdr:cNvPr id="4" name="Imagem 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45829" y="3182335"/>
          <a:ext cx="1306408" cy="8120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392581</xdr:colOff>
      <xdr:row>1</xdr:row>
      <xdr:rowOff>73269</xdr:rowOff>
    </xdr:from>
    <xdr:to>
      <xdr:col>5</xdr:col>
      <xdr:colOff>133294</xdr:colOff>
      <xdr:row>2</xdr:row>
      <xdr:rowOff>172623</xdr:rowOff>
    </xdr:to>
    <xdr:pic>
      <xdr:nvPicPr>
        <xdr:cNvPr id="2" name="Imagem 1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4369" y="241788"/>
          <a:ext cx="382258" cy="256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8916958</xdr:colOff>
      <xdr:row>0</xdr:row>
      <xdr:rowOff>151014</xdr:rowOff>
    </xdr:from>
    <xdr:to>
      <xdr:col>3</xdr:col>
      <xdr:colOff>9372674</xdr:colOff>
      <xdr:row>2</xdr:row>
      <xdr:rowOff>95250</xdr:rowOff>
    </xdr:to>
    <xdr:pic>
      <xdr:nvPicPr>
        <xdr:cNvPr id="3" name="Imagem 2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7663" y="151014"/>
          <a:ext cx="459526" cy="29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141143</xdr:colOff>
      <xdr:row>1</xdr:row>
      <xdr:rowOff>34466</xdr:rowOff>
    </xdr:from>
    <xdr:to>
      <xdr:col>2</xdr:col>
      <xdr:colOff>3464</xdr:colOff>
      <xdr:row>1</xdr:row>
      <xdr:rowOff>284344</xdr:rowOff>
    </xdr:to>
    <xdr:pic>
      <xdr:nvPicPr>
        <xdr:cNvPr id="3" name="Imagem 2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793" y="224966"/>
          <a:ext cx="386196" cy="26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571923</xdr:colOff>
      <xdr:row>0</xdr:row>
      <xdr:rowOff>85408</xdr:rowOff>
    </xdr:from>
    <xdr:to>
      <xdr:col>23</xdr:col>
      <xdr:colOff>186966</xdr:colOff>
      <xdr:row>2</xdr:row>
      <xdr:rowOff>3387</xdr:rowOff>
    </xdr:to>
    <xdr:pic>
      <xdr:nvPicPr>
        <xdr:cNvPr id="4" name="Imagem 3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673" y="85408"/>
          <a:ext cx="355876" cy="241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320041</xdr:colOff>
      <xdr:row>1</xdr:row>
      <xdr:rowOff>142875</xdr:rowOff>
    </xdr:from>
    <xdr:to>
      <xdr:col>1</xdr:col>
      <xdr:colOff>778631</xdr:colOff>
      <xdr:row>3</xdr:row>
      <xdr:rowOff>55209</xdr:rowOff>
    </xdr:to>
    <xdr:pic>
      <xdr:nvPicPr>
        <xdr:cNvPr id="3" name="Imagem 2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1" y="314325"/>
          <a:ext cx="458590" cy="30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952499</xdr:colOff>
      <xdr:row>0</xdr:row>
      <xdr:rowOff>182880</xdr:rowOff>
    </xdr:from>
    <xdr:to>
      <xdr:col>2</xdr:col>
      <xdr:colOff>3102789</xdr:colOff>
      <xdr:row>3</xdr:row>
      <xdr:rowOff>22825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3949" y="182880"/>
          <a:ext cx="3670935" cy="47507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358833</xdr:colOff>
      <xdr:row>1</xdr:row>
      <xdr:rowOff>129887</xdr:rowOff>
    </xdr:from>
    <xdr:to>
      <xdr:col>8</xdr:col>
      <xdr:colOff>289401</xdr:colOff>
      <xdr:row>2</xdr:row>
      <xdr:rowOff>306652</xdr:rowOff>
    </xdr:to>
    <xdr:pic>
      <xdr:nvPicPr>
        <xdr:cNvPr id="3" name="Imagem 2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1288" y="303069"/>
          <a:ext cx="558872" cy="379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186690</xdr:colOff>
      <xdr:row>8</xdr:row>
      <xdr:rowOff>70736</xdr:rowOff>
    </xdr:from>
    <xdr:to>
      <xdr:col>8</xdr:col>
      <xdr:colOff>483004</xdr:colOff>
      <xdr:row>12</xdr:row>
      <xdr:rowOff>50564</xdr:rowOff>
    </xdr:to>
    <xdr:pic>
      <xdr:nvPicPr>
        <xdr:cNvPr id="7" name="Imagem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87099" y="1473509"/>
          <a:ext cx="928428" cy="77646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133350</xdr:rowOff>
    </xdr:from>
    <xdr:to>
      <xdr:col>5</xdr:col>
      <xdr:colOff>92147</xdr:colOff>
      <xdr:row>2</xdr:row>
      <xdr:rowOff>167933</xdr:rowOff>
    </xdr:to>
    <xdr:pic>
      <xdr:nvPicPr>
        <xdr:cNvPr id="3" name="Imagem 2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8475" y="133350"/>
          <a:ext cx="558872" cy="381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5429250</xdr:colOff>
      <xdr:row>23</xdr:row>
      <xdr:rowOff>161925</xdr:rowOff>
    </xdr:from>
    <xdr:to>
      <xdr:col>5</xdr:col>
      <xdr:colOff>314325</xdr:colOff>
      <xdr:row>41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388620</xdr:colOff>
      <xdr:row>24</xdr:row>
      <xdr:rowOff>83820</xdr:rowOff>
    </xdr:from>
    <xdr:to>
      <xdr:col>1</xdr:col>
      <xdr:colOff>5341620</xdr:colOff>
      <xdr:row>41</xdr:row>
      <xdr:rowOff>68580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410846</xdr:colOff>
      <xdr:row>24</xdr:row>
      <xdr:rowOff>12913</xdr:rowOff>
    </xdr:from>
    <xdr:to>
      <xdr:col>1</xdr:col>
      <xdr:colOff>4157346</xdr:colOff>
      <xdr:row>40</xdr:row>
      <xdr:rowOff>52495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4290059</xdr:colOff>
      <xdr:row>23</xdr:row>
      <xdr:rowOff>74507</xdr:rowOff>
    </xdr:from>
    <xdr:to>
      <xdr:col>4</xdr:col>
      <xdr:colOff>137583</xdr:colOff>
      <xdr:row>39</xdr:row>
      <xdr:rowOff>114089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325446</xdr:colOff>
      <xdr:row>20</xdr:row>
      <xdr:rowOff>87630</xdr:rowOff>
    </xdr:to>
    <xdr:pic>
      <xdr:nvPicPr>
        <xdr:cNvPr id="9" name="Imagem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112500" y="3111500"/>
          <a:ext cx="1150946" cy="9342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333375</xdr:colOff>
      <xdr:row>1</xdr:row>
      <xdr:rowOff>83343</xdr:rowOff>
    </xdr:from>
    <xdr:to>
      <xdr:col>32</xdr:col>
      <xdr:colOff>286933</xdr:colOff>
      <xdr:row>2</xdr:row>
      <xdr:rowOff>59824</xdr:rowOff>
    </xdr:to>
    <xdr:pic>
      <xdr:nvPicPr>
        <xdr:cNvPr id="3" name="Imagem 2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214312"/>
          <a:ext cx="560777" cy="387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544831</xdr:colOff>
      <xdr:row>17</xdr:row>
      <xdr:rowOff>71718</xdr:rowOff>
    </xdr:from>
    <xdr:to>
      <xdr:col>13</xdr:col>
      <xdr:colOff>972979</xdr:colOff>
      <xdr:row>20</xdr:row>
      <xdr:rowOff>250603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331769" y="3488812"/>
          <a:ext cx="1051560" cy="1079473"/>
        </a:xfrm>
        <a:prstGeom prst="rect">
          <a:avLst/>
        </a:prstGeom>
      </xdr:spPr>
    </xdr:pic>
    <xdr:clientData/>
  </xdr:twoCellAnchor>
  <xdr:twoCellAnchor editAs="oneCell">
    <xdr:from>
      <xdr:col>1</xdr:col>
      <xdr:colOff>992030</xdr:colOff>
      <xdr:row>0</xdr:row>
      <xdr:rowOff>97155</xdr:rowOff>
    </xdr:from>
    <xdr:to>
      <xdr:col>1</xdr:col>
      <xdr:colOff>1526137</xdr:colOff>
      <xdr:row>1</xdr:row>
      <xdr:rowOff>325572</xdr:rowOff>
    </xdr:to>
    <xdr:pic>
      <xdr:nvPicPr>
        <xdr:cNvPr id="6" name="Imagem 5" descr="Marcador Seta Png, Transparent Png , Transparent Png Image - PNGitem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1" y="97155"/>
          <a:ext cx="534107" cy="375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186690</xdr:colOff>
      <xdr:row>0</xdr:row>
      <xdr:rowOff>209550</xdr:rowOff>
    </xdr:from>
    <xdr:to>
      <xdr:col>11</xdr:col>
      <xdr:colOff>18449</xdr:colOff>
      <xdr:row>1</xdr:row>
      <xdr:rowOff>245745</xdr:rowOff>
    </xdr:to>
    <xdr:pic>
      <xdr:nvPicPr>
        <xdr:cNvPr id="2" name="Imagem 1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0465" y="209550"/>
          <a:ext cx="456599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445770</xdr:colOff>
      <xdr:row>1</xdr:row>
      <xdr:rowOff>56939</xdr:rowOff>
    </xdr:from>
    <xdr:to>
      <xdr:col>10</xdr:col>
      <xdr:colOff>287447</xdr:colOff>
      <xdr:row>2</xdr:row>
      <xdr:rowOff>74295</xdr:rowOff>
    </xdr:to>
    <xdr:pic>
      <xdr:nvPicPr>
        <xdr:cNvPr id="2" name="Imagem 1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2170" y="180764"/>
          <a:ext cx="437942" cy="305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158114</xdr:colOff>
      <xdr:row>3</xdr:row>
      <xdr:rowOff>60749</xdr:rowOff>
    </xdr:from>
    <xdr:to>
      <xdr:col>13</xdr:col>
      <xdr:colOff>1695</xdr:colOff>
      <xdr:row>4</xdr:row>
      <xdr:rowOff>97631</xdr:rowOff>
    </xdr:to>
    <xdr:pic>
      <xdr:nvPicPr>
        <xdr:cNvPr id="4" name="Imagem 3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3989" y="536999"/>
          <a:ext cx="450800" cy="29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227733</xdr:colOff>
      <xdr:row>1</xdr:row>
      <xdr:rowOff>73603</xdr:rowOff>
    </xdr:from>
    <xdr:to>
      <xdr:col>10</xdr:col>
      <xdr:colOff>171291</xdr:colOff>
      <xdr:row>4</xdr:row>
      <xdr:rowOff>2891</xdr:rowOff>
    </xdr:to>
    <xdr:pic>
      <xdr:nvPicPr>
        <xdr:cNvPr id="2" name="Imagem 1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6756" y="290080"/>
          <a:ext cx="559219" cy="405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4648200</xdr:colOff>
          <xdr:row>4</xdr:row>
          <xdr:rowOff>7620</xdr:rowOff>
        </xdr:from>
        <xdr:to>
          <xdr:col>3</xdr:col>
          <xdr:colOff>7620</xdr:colOff>
          <xdr:row>5</xdr:row>
          <xdr:rowOff>0</xdr:rowOff>
        </xdr:to>
        <xdr:sp macro="" textlink="">
          <xdr:nvSpPr>
            <xdr:cNvPr id="20481" name="Spinner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1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4648200</xdr:colOff>
          <xdr:row>6</xdr:row>
          <xdr:rowOff>7620</xdr:rowOff>
        </xdr:from>
        <xdr:to>
          <xdr:col>3</xdr:col>
          <xdr:colOff>7620</xdr:colOff>
          <xdr:row>7</xdr:row>
          <xdr:rowOff>0</xdr:rowOff>
        </xdr:to>
        <xdr:sp macro="" textlink="">
          <xdr:nvSpPr>
            <xdr:cNvPr id="20482" name="Spinner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1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251460</xdr:colOff>
      <xdr:row>8</xdr:row>
      <xdr:rowOff>209550</xdr:rowOff>
    </xdr:from>
    <xdr:to>
      <xdr:col>3</xdr:col>
      <xdr:colOff>358140</xdr:colOff>
      <xdr:row>21</xdr:row>
      <xdr:rowOff>80010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457200</xdr:colOff>
      <xdr:row>8</xdr:row>
      <xdr:rowOff>217170</xdr:rowOff>
    </xdr:from>
    <xdr:to>
      <xdr:col>10</xdr:col>
      <xdr:colOff>152400</xdr:colOff>
      <xdr:row>21</xdr:row>
      <xdr:rowOff>87630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4648200</xdr:colOff>
          <xdr:row>25</xdr:row>
          <xdr:rowOff>7620</xdr:rowOff>
        </xdr:from>
        <xdr:to>
          <xdr:col>1</xdr:col>
          <xdr:colOff>4953000</xdr:colOff>
          <xdr:row>26</xdr:row>
          <xdr:rowOff>0</xdr:rowOff>
        </xdr:to>
        <xdr:sp macro="" textlink="">
          <xdr:nvSpPr>
            <xdr:cNvPr id="20485" name="Spinner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12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60960</xdr:colOff>
      <xdr:row>29</xdr:row>
      <xdr:rowOff>140970</xdr:rowOff>
    </xdr:from>
    <xdr:to>
      <xdr:col>1</xdr:col>
      <xdr:colOff>4632960</xdr:colOff>
      <xdr:row>42</xdr:row>
      <xdr:rowOff>11430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4678680</xdr:colOff>
          <xdr:row>27</xdr:row>
          <xdr:rowOff>7620</xdr:rowOff>
        </xdr:from>
        <xdr:to>
          <xdr:col>2</xdr:col>
          <xdr:colOff>7620</xdr:colOff>
          <xdr:row>28</xdr:row>
          <xdr:rowOff>7620</xdr:rowOff>
        </xdr:to>
        <xdr:sp macro="" textlink="">
          <xdr:nvSpPr>
            <xdr:cNvPr id="20487" name="Spinner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12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3</xdr:col>
      <xdr:colOff>190499</xdr:colOff>
      <xdr:row>29</xdr:row>
      <xdr:rowOff>131234</xdr:rowOff>
    </xdr:from>
    <xdr:to>
      <xdr:col>9</xdr:col>
      <xdr:colOff>472439</xdr:colOff>
      <xdr:row>41</xdr:row>
      <xdr:rowOff>207434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551676</xdr:colOff>
      <xdr:row>3</xdr:row>
      <xdr:rowOff>173128</xdr:rowOff>
    </xdr:to>
    <xdr:pic>
      <xdr:nvPicPr>
        <xdr:cNvPr id="3" name="Imagem 2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7200"/>
          <a:ext cx="559296" cy="401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284549</xdr:colOff>
      <xdr:row>9</xdr:row>
      <xdr:rowOff>184772</xdr:rowOff>
    </xdr:from>
    <xdr:to>
      <xdr:col>7</xdr:col>
      <xdr:colOff>593959</xdr:colOff>
      <xdr:row>14</xdr:row>
      <xdr:rowOff>19963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42575" y="2260219"/>
          <a:ext cx="1536431" cy="99202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186690</xdr:colOff>
      <xdr:row>9</xdr:row>
      <xdr:rowOff>100965</xdr:rowOff>
    </xdr:from>
    <xdr:to>
      <xdr:col>7</xdr:col>
      <xdr:colOff>400299</xdr:colOff>
      <xdr:row>14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4690" y="2158365"/>
          <a:ext cx="1432809" cy="109156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561201</xdr:colOff>
      <xdr:row>3</xdr:row>
      <xdr:rowOff>176938</xdr:rowOff>
    </xdr:to>
    <xdr:pic>
      <xdr:nvPicPr>
        <xdr:cNvPr id="4" name="Imagem 3" descr="Marcador Seta Png, Transparent Png , Transparent Png Image - PNGitem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7200"/>
          <a:ext cx="561201" cy="405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209550</xdr:rowOff>
    </xdr:from>
    <xdr:to>
      <xdr:col>0</xdr:col>
      <xdr:colOff>473293</xdr:colOff>
      <xdr:row>9</xdr:row>
      <xdr:rowOff>57150</xdr:rowOff>
    </xdr:to>
    <xdr:pic>
      <xdr:nvPicPr>
        <xdr:cNvPr id="2" name="Imagem 1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9550"/>
          <a:ext cx="381853" cy="27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13</xdr:col>
      <xdr:colOff>381853</xdr:colOff>
      <xdr:row>3</xdr:row>
      <xdr:rowOff>59690</xdr:rowOff>
    </xdr:to>
    <xdr:pic>
      <xdr:nvPicPr>
        <xdr:cNvPr id="2" name="Imagem 1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444500"/>
          <a:ext cx="381853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190500</xdr:rowOff>
    </xdr:from>
    <xdr:to>
      <xdr:col>0</xdr:col>
      <xdr:colOff>458053</xdr:colOff>
      <xdr:row>10</xdr:row>
      <xdr:rowOff>20955</xdr:rowOff>
    </xdr:to>
    <xdr:pic>
      <xdr:nvPicPr>
        <xdr:cNvPr id="2" name="Imagem 1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381853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9525</xdr:rowOff>
    </xdr:from>
    <xdr:to>
      <xdr:col>1</xdr:col>
      <xdr:colOff>19903</xdr:colOff>
      <xdr:row>2</xdr:row>
      <xdr:rowOff>91440</xdr:rowOff>
    </xdr:to>
    <xdr:pic>
      <xdr:nvPicPr>
        <xdr:cNvPr id="2" name="Imagem 1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381853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</xdr:colOff>
      <xdr:row>1</xdr:row>
      <xdr:rowOff>85725</xdr:rowOff>
    </xdr:from>
    <xdr:to>
      <xdr:col>0</xdr:col>
      <xdr:colOff>553303</xdr:colOff>
      <xdr:row>2</xdr:row>
      <xdr:rowOff>135255</xdr:rowOff>
    </xdr:to>
    <xdr:pic>
      <xdr:nvPicPr>
        <xdr:cNvPr id="2" name="Imagem 1" descr="Marcador Seta Png, Transparent Png , Transparent Png Image - PNGit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" y="314325"/>
          <a:ext cx="381853" cy="28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o Costa" id="{3A66A1A8-66BE-46CB-AEC4-C25F94914E30}" userId="e98fc59df771d7d2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0" dT="2024-03-14T20:01:06.95" personId="{3A66A1A8-66BE-46CB-AEC4-C25F94914E30}" id="{BB739017-5AFE-4770-A2FD-9BEAF6454235}">
    <text>Decreto nº 9.580/2018:  IRRF Pessoa Física
Art. 677 Fato Gerador
§ 2º O imposto sobre a renda será retido por ocasião de cada pagamento e se, no mês, houver mais de um pagamento, a qualquer título, pela mesma fonte pagadora, será aplicada a alíquota correspondente à soma dos rendimentos pagos à pessoa física, ressalvado o disposto no § 1º do art. 776 , deduzido o imposto anteriormente retido no próprio mês ( Lei nº 7.713, de 1988, art. 7º, § 1º ; e Lei nº 8.134, de 1990, art. 3º ).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9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1299-7B5E-47EF-B43F-C82408522817}">
  <dimension ref="B1:Y28"/>
  <sheetViews>
    <sheetView showGridLines="0" showRowColHeaders="0" zoomScaleNormal="100" workbookViewId="0">
      <pane xSplit="3" topLeftCell="D1" activePane="topRight" state="frozen"/>
      <selection pane="topRight"/>
    </sheetView>
  </sheetViews>
  <sheetFormatPr defaultRowHeight="25.05" customHeight="1"/>
  <cols>
    <col min="1" max="1" width="2.77734375" style="493" customWidth="1"/>
    <col min="2" max="2" width="15.21875" style="493" customWidth="1"/>
    <col min="3" max="3" width="3.88671875" style="493" customWidth="1"/>
    <col min="4" max="4" width="3.21875" style="493" customWidth="1"/>
    <col min="5" max="5" width="4.33203125" style="493" customWidth="1"/>
    <col min="6" max="6" width="15" style="501" bestFit="1" customWidth="1"/>
    <col min="7" max="16384" width="8.88671875" style="493"/>
  </cols>
  <sheetData>
    <row r="1" spans="2:25" ht="12.6" customHeight="1"/>
    <row r="2" spans="2:25" ht="25.05" customHeight="1">
      <c r="F2" s="494" t="s">
        <v>899</v>
      </c>
      <c r="G2" s="497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</row>
    <row r="3" spans="2:25" ht="25.05" customHeight="1">
      <c r="E3" s="499"/>
      <c r="F3" s="495" t="s">
        <v>900</v>
      </c>
      <c r="H3" s="499"/>
    </row>
    <row r="4" spans="2:25" ht="10.199999999999999" customHeight="1">
      <c r="E4" s="500"/>
      <c r="H4" s="500"/>
    </row>
    <row r="5" spans="2:25" ht="25.05" customHeight="1">
      <c r="B5" s="492" t="s">
        <v>898</v>
      </c>
      <c r="C5" s="498"/>
      <c r="D5" s="502"/>
      <c r="E5" s="500"/>
      <c r="H5" s="500"/>
      <c r="K5" s="507" t="s">
        <v>910</v>
      </c>
      <c r="L5" s="507"/>
      <c r="O5" s="507" t="s">
        <v>915</v>
      </c>
      <c r="P5" s="507"/>
    </row>
    <row r="6" spans="2:25" ht="25.05" customHeight="1">
      <c r="B6" s="492"/>
      <c r="E6" s="500"/>
      <c r="H6" s="500"/>
      <c r="K6" s="507"/>
      <c r="L6" s="507"/>
      <c r="O6" s="507"/>
      <c r="P6" s="507"/>
    </row>
    <row r="7" spans="2:25" ht="12" customHeight="1">
      <c r="E7" s="500"/>
      <c r="H7" s="500"/>
      <c r="K7" s="503">
        <v>1973</v>
      </c>
      <c r="L7" s="503"/>
      <c r="O7" s="503">
        <v>2001</v>
      </c>
      <c r="P7" s="503"/>
    </row>
    <row r="8" spans="2:25" ht="25.05" customHeight="1">
      <c r="E8" s="497"/>
      <c r="F8" s="494" t="s">
        <v>901</v>
      </c>
      <c r="G8" s="497"/>
      <c r="H8" s="497"/>
      <c r="I8" s="498"/>
      <c r="J8" s="498"/>
      <c r="K8" s="498"/>
      <c r="L8" s="497"/>
      <c r="M8" s="498"/>
      <c r="N8" s="498"/>
      <c r="O8" s="498"/>
      <c r="P8" s="497"/>
      <c r="Q8" s="498"/>
      <c r="R8" s="498"/>
      <c r="S8" s="498"/>
      <c r="T8" s="498"/>
      <c r="U8" s="498"/>
      <c r="V8" s="498"/>
      <c r="W8" s="498"/>
      <c r="X8" s="498"/>
      <c r="Y8" s="498"/>
    </row>
    <row r="9" spans="2:25" ht="25.05" customHeight="1">
      <c r="F9" s="495" t="s">
        <v>902</v>
      </c>
      <c r="H9" s="500"/>
      <c r="L9" s="499"/>
      <c r="N9" s="499"/>
      <c r="P9" s="499"/>
      <c r="R9" s="509" t="s">
        <v>918</v>
      </c>
      <c r="S9" s="510"/>
      <c r="T9" s="510"/>
      <c r="U9" s="510"/>
      <c r="V9" s="511"/>
      <c r="W9" s="500"/>
    </row>
    <row r="10" spans="2:25" ht="25.05" customHeight="1">
      <c r="H10" s="500"/>
      <c r="K10" s="503" t="s">
        <v>909</v>
      </c>
      <c r="L10" s="503"/>
      <c r="N10" s="500"/>
      <c r="O10" s="503" t="s">
        <v>916</v>
      </c>
      <c r="P10" s="503"/>
      <c r="R10" s="500"/>
      <c r="W10" s="500"/>
    </row>
    <row r="11" spans="2:25" ht="25.05" customHeight="1">
      <c r="G11" s="503">
        <v>1939</v>
      </c>
      <c r="H11" s="503"/>
      <c r="K11" s="503" t="s">
        <v>909</v>
      </c>
      <c r="L11" s="503"/>
      <c r="N11" s="500"/>
      <c r="O11" s="503" t="s">
        <v>917</v>
      </c>
      <c r="P11" s="503"/>
      <c r="Q11" s="503">
        <v>2005</v>
      </c>
      <c r="R11" s="503"/>
      <c r="V11" s="503">
        <v>2010</v>
      </c>
      <c r="W11" s="503"/>
    </row>
    <row r="12" spans="2:25" ht="25.05" customHeight="1">
      <c r="B12" s="496" t="s">
        <v>903</v>
      </c>
      <c r="C12" s="498"/>
      <c r="D12" s="498"/>
      <c r="E12" s="498"/>
      <c r="F12" s="504"/>
      <c r="G12" s="498"/>
      <c r="H12" s="497"/>
      <c r="I12" s="498"/>
      <c r="J12" s="498"/>
      <c r="K12" s="498"/>
      <c r="L12" s="498"/>
      <c r="M12" s="498"/>
      <c r="N12" s="497"/>
      <c r="O12" s="498"/>
      <c r="P12" s="498"/>
      <c r="Q12" s="498"/>
      <c r="R12" s="497"/>
      <c r="S12" s="498"/>
      <c r="T12" s="498"/>
      <c r="U12" s="498"/>
      <c r="V12" s="498"/>
      <c r="W12" s="497"/>
      <c r="X12" s="498"/>
      <c r="Y12" s="498"/>
    </row>
    <row r="13" spans="2:25" ht="25.05" customHeight="1">
      <c r="B13" s="496"/>
      <c r="H13" s="499"/>
      <c r="J13" s="499"/>
      <c r="N13" s="500"/>
      <c r="R13" s="499"/>
      <c r="T13" s="499"/>
      <c r="V13" s="499"/>
      <c r="W13" s="499"/>
      <c r="Y13" s="499"/>
    </row>
    <row r="14" spans="2:25" ht="25.05" customHeight="1">
      <c r="G14" s="503" t="s">
        <v>904</v>
      </c>
      <c r="H14" s="503"/>
      <c r="J14" s="500"/>
      <c r="N14" s="500"/>
      <c r="Q14" s="503" t="s">
        <v>916</v>
      </c>
      <c r="R14" s="503"/>
      <c r="T14" s="500"/>
      <c r="V14" s="517" t="s">
        <v>916</v>
      </c>
      <c r="W14" s="518"/>
      <c r="Y14" s="500"/>
    </row>
    <row r="15" spans="2:25" ht="25.05" customHeight="1">
      <c r="G15" s="503" t="s">
        <v>905</v>
      </c>
      <c r="H15" s="503"/>
      <c r="J15" s="500"/>
      <c r="N15" s="500"/>
      <c r="Q15" s="503" t="s">
        <v>917</v>
      </c>
      <c r="R15" s="503"/>
      <c r="T15" s="500"/>
      <c r="V15" s="517" t="s">
        <v>917</v>
      </c>
      <c r="W15" s="518"/>
      <c r="Y15" s="500"/>
    </row>
    <row r="16" spans="2:25" ht="25.05" customHeight="1">
      <c r="I16" s="503">
        <v>1940</v>
      </c>
      <c r="J16" s="503"/>
      <c r="M16" s="503">
        <v>1976</v>
      </c>
      <c r="N16" s="503"/>
      <c r="Q16" s="503">
        <v>2005</v>
      </c>
      <c r="R16" s="503"/>
      <c r="S16" s="503">
        <v>2007</v>
      </c>
      <c r="T16" s="503"/>
      <c r="U16" s="503">
        <v>2009</v>
      </c>
      <c r="V16" s="503"/>
      <c r="X16" s="503">
        <v>2014</v>
      </c>
      <c r="Y16" s="503"/>
    </row>
    <row r="17" spans="2:25" ht="25.05" customHeight="1">
      <c r="B17" s="505" t="s">
        <v>906</v>
      </c>
      <c r="C17" s="498"/>
      <c r="D17" s="498"/>
      <c r="E17" s="498"/>
      <c r="F17" s="504"/>
      <c r="G17" s="498"/>
      <c r="H17" s="498"/>
      <c r="I17" s="498"/>
      <c r="J17" s="497"/>
      <c r="K17" s="498"/>
      <c r="L17" s="498"/>
      <c r="M17" s="498"/>
      <c r="N17" s="497"/>
      <c r="O17" s="498"/>
      <c r="P17" s="498"/>
      <c r="Q17" s="498"/>
      <c r="R17" s="497"/>
      <c r="S17" s="498"/>
      <c r="T17" s="514" t="s">
        <v>929</v>
      </c>
      <c r="U17" s="515"/>
      <c r="V17" s="514" t="s">
        <v>932</v>
      </c>
      <c r="W17" s="516"/>
      <c r="X17" s="515"/>
      <c r="Y17" s="497"/>
    </row>
    <row r="18" spans="2:25" ht="25.05" customHeight="1">
      <c r="B18" s="505"/>
      <c r="J18" s="499"/>
      <c r="N18" s="499"/>
      <c r="R18" s="499"/>
      <c r="T18" s="499"/>
      <c r="V18" s="499"/>
      <c r="Y18" s="499"/>
    </row>
    <row r="19" spans="2:25" ht="25.05" customHeight="1">
      <c r="I19" s="503" t="s">
        <v>907</v>
      </c>
      <c r="J19" s="503"/>
      <c r="L19" s="508" t="s">
        <v>912</v>
      </c>
      <c r="M19" s="503" t="s">
        <v>911</v>
      </c>
      <c r="N19" s="503"/>
      <c r="Q19" s="503" t="s">
        <v>919</v>
      </c>
      <c r="R19" s="503"/>
      <c r="S19" s="503" t="s">
        <v>924</v>
      </c>
      <c r="T19" s="503"/>
      <c r="U19" s="503" t="s">
        <v>930</v>
      </c>
      <c r="V19" s="503"/>
      <c r="X19" s="503" t="s">
        <v>931</v>
      </c>
      <c r="Y19" s="503"/>
    </row>
    <row r="20" spans="2:25" ht="25.05" customHeight="1">
      <c r="I20" s="503" t="s">
        <v>908</v>
      </c>
      <c r="J20" s="503"/>
      <c r="L20" s="501" t="s">
        <v>914</v>
      </c>
      <c r="M20" s="503" t="s">
        <v>913</v>
      </c>
      <c r="N20" s="503"/>
      <c r="Q20" s="503" t="s">
        <v>920</v>
      </c>
      <c r="R20" s="503"/>
      <c r="T20" s="500"/>
    </row>
    <row r="21" spans="2:25" ht="25.05" customHeight="1">
      <c r="Q21" s="503" t="s">
        <v>921</v>
      </c>
      <c r="R21" s="503"/>
      <c r="S21" s="506" t="s">
        <v>925</v>
      </c>
      <c r="T21" s="506"/>
    </row>
    <row r="22" spans="2:25" ht="25.05" customHeight="1">
      <c r="Q22" s="503" t="s">
        <v>922</v>
      </c>
      <c r="R22" s="503"/>
      <c r="T22" s="500"/>
    </row>
    <row r="23" spans="2:25" ht="25.05" customHeight="1">
      <c r="Q23" s="503" t="s">
        <v>923</v>
      </c>
      <c r="R23" s="503"/>
      <c r="T23" s="500"/>
    </row>
    <row r="24" spans="2:25" ht="25.05" customHeight="1">
      <c r="T24" s="500"/>
    </row>
    <row r="25" spans="2:25" ht="25.05" customHeight="1">
      <c r="S25" s="512" t="s">
        <v>926</v>
      </c>
      <c r="T25" s="513"/>
    </row>
    <row r="26" spans="2:25" ht="25.05" customHeight="1">
      <c r="S26" s="512" t="s">
        <v>927</v>
      </c>
      <c r="T26" s="513"/>
    </row>
    <row r="27" spans="2:25" ht="25.05" customHeight="1">
      <c r="T27" s="499"/>
    </row>
    <row r="28" spans="2:25" ht="25.05" customHeight="1">
      <c r="S28" s="512" t="s">
        <v>928</v>
      </c>
      <c r="T28" s="513"/>
    </row>
  </sheetData>
  <mergeCells count="45">
    <mergeCell ref="S28:T28"/>
    <mergeCell ref="U16:V16"/>
    <mergeCell ref="U19:V19"/>
    <mergeCell ref="T17:U17"/>
    <mergeCell ref="X16:Y16"/>
    <mergeCell ref="X19:Y19"/>
    <mergeCell ref="V17:X17"/>
    <mergeCell ref="Q23:R23"/>
    <mergeCell ref="S16:T16"/>
    <mergeCell ref="S19:T19"/>
    <mergeCell ref="S21:T21"/>
    <mergeCell ref="S25:T25"/>
    <mergeCell ref="S26:T26"/>
    <mergeCell ref="R9:V9"/>
    <mergeCell ref="Q16:R16"/>
    <mergeCell ref="Q19:R19"/>
    <mergeCell ref="Q20:R20"/>
    <mergeCell ref="Q21:R21"/>
    <mergeCell ref="Q22:R22"/>
    <mergeCell ref="Q11:R11"/>
    <mergeCell ref="Q14:R14"/>
    <mergeCell ref="Q15:R15"/>
    <mergeCell ref="V11:W11"/>
    <mergeCell ref="V14:W14"/>
    <mergeCell ref="V15:W15"/>
    <mergeCell ref="K5:L6"/>
    <mergeCell ref="K11:L11"/>
    <mergeCell ref="M16:N16"/>
    <mergeCell ref="M19:N19"/>
    <mergeCell ref="M20:N20"/>
    <mergeCell ref="O5:P6"/>
    <mergeCell ref="O7:P7"/>
    <mergeCell ref="O10:P10"/>
    <mergeCell ref="O11:P11"/>
    <mergeCell ref="B17:B18"/>
    <mergeCell ref="I19:J19"/>
    <mergeCell ref="I20:J20"/>
    <mergeCell ref="K7:L7"/>
    <mergeCell ref="K10:L10"/>
    <mergeCell ref="B5:B6"/>
    <mergeCell ref="B12:B13"/>
    <mergeCell ref="G11:H11"/>
    <mergeCell ref="G14:H14"/>
    <mergeCell ref="G15:H15"/>
    <mergeCell ref="I16:J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39"/>
  <sheetViews>
    <sheetView showGridLines="0" showRowColHeaders="0" tabSelected="1" zoomScale="90" zoomScaleNormal="90" workbookViewId="0">
      <pane xSplit="30" ySplit="49" topLeftCell="AE56" activePane="bottomRight" state="frozen"/>
      <selection pane="topRight" activeCell="AD1" sqref="AD1"/>
      <selection pane="bottomLeft" activeCell="A50" sqref="A50"/>
      <selection pane="bottomRight"/>
    </sheetView>
  </sheetViews>
  <sheetFormatPr defaultColWidth="9.109375" defaultRowHeight="14.4"/>
  <cols>
    <col min="1" max="2" width="9.109375" style="20"/>
    <col min="3" max="3" width="9.109375" style="20" customWidth="1"/>
    <col min="4" max="4" width="9.88671875" style="20" customWidth="1"/>
    <col min="5" max="5" width="12.77734375" style="20" customWidth="1"/>
    <col min="6" max="6" width="9.109375" style="20" customWidth="1"/>
    <col min="7" max="7" width="7.33203125" style="20" customWidth="1"/>
    <col min="8" max="8" width="10.6640625" style="20" customWidth="1"/>
    <col min="9" max="9" width="7.44140625" style="20" customWidth="1"/>
    <col min="10" max="10" width="7.109375" style="20" customWidth="1"/>
    <col min="11" max="11" width="12.77734375" style="20" customWidth="1"/>
    <col min="12" max="12" width="7.5546875" style="20" customWidth="1"/>
    <col min="13" max="13" width="9.109375" style="20"/>
    <col min="14" max="14" width="12.77734375" style="20" customWidth="1"/>
    <col min="15" max="15" width="9.109375" style="20" customWidth="1"/>
    <col min="16" max="18" width="9.5546875" style="20" customWidth="1"/>
    <col min="19" max="19" width="5.33203125" style="20" customWidth="1"/>
    <col min="20" max="16384" width="9.109375" style="20"/>
  </cols>
  <sheetData>
    <row r="3" spans="1:19">
      <c r="A3"/>
    </row>
    <row r="4" spans="1:19">
      <c r="C4"/>
    </row>
    <row r="5" spans="1:19">
      <c r="B5"/>
      <c r="H5"/>
      <c r="J5"/>
    </row>
    <row r="7" spans="1:19" ht="17.399999999999999" customHeight="1">
      <c r="K7" s="491"/>
    </row>
    <row r="8" spans="1:19">
      <c r="S8" s="44"/>
    </row>
    <row r="9" spans="1:19" ht="21">
      <c r="K9" s="191"/>
      <c r="S9" s="45"/>
    </row>
    <row r="10" spans="1:19">
      <c r="H10"/>
      <c r="S10" s="45"/>
    </row>
    <row r="11" spans="1:19">
      <c r="S11" s="45"/>
    </row>
    <row r="12" spans="1:19">
      <c r="O12" s="43"/>
      <c r="S12" s="45"/>
    </row>
    <row r="13" spans="1:19">
      <c r="G13" s="44"/>
      <c r="I13" s="47"/>
      <c r="M13" s="44"/>
      <c r="O13" s="47"/>
      <c r="S13" s="45"/>
    </row>
    <row r="14" spans="1:19">
      <c r="G14" s="45"/>
      <c r="I14" s="48"/>
      <c r="M14" s="45"/>
      <c r="O14" s="48"/>
      <c r="S14" s="45"/>
    </row>
    <row r="15" spans="1:19">
      <c r="G15" s="45"/>
      <c r="I15" s="48"/>
      <c r="M15" s="45"/>
      <c r="O15" s="48"/>
      <c r="S15" s="46"/>
    </row>
    <row r="16" spans="1:19">
      <c r="G16" s="45"/>
      <c r="I16" s="48"/>
      <c r="M16" s="45"/>
      <c r="O16" s="48"/>
      <c r="S16" s="45"/>
    </row>
    <row r="17" spans="2:19">
      <c r="G17" s="45"/>
      <c r="I17" s="48"/>
      <c r="M17" s="45"/>
      <c r="O17" s="48"/>
      <c r="S17" s="45"/>
    </row>
    <row r="18" spans="2:19">
      <c r="D18" s="43"/>
      <c r="F18" s="43"/>
      <c r="G18" s="45"/>
      <c r="I18" s="48"/>
      <c r="J18" s="46"/>
      <c r="K18"/>
      <c r="L18" s="43"/>
      <c r="M18" s="45"/>
      <c r="O18" s="48"/>
      <c r="P18" s="46"/>
      <c r="R18" s="49"/>
      <c r="S18" s="45"/>
    </row>
    <row r="19" spans="2:19">
      <c r="G19" s="45"/>
      <c r="I19" s="48"/>
      <c r="M19" s="45"/>
      <c r="O19" s="48"/>
      <c r="S19" s="45"/>
    </row>
    <row r="20" spans="2:19">
      <c r="G20" s="45"/>
      <c r="I20" s="48"/>
      <c r="M20" s="45"/>
      <c r="O20" s="48"/>
      <c r="S20" s="45"/>
    </row>
    <row r="21" spans="2:19">
      <c r="G21" s="45"/>
      <c r="I21" s="48"/>
      <c r="M21" s="45"/>
      <c r="O21" s="48"/>
      <c r="S21" s="45"/>
    </row>
    <row r="22" spans="2:19">
      <c r="G22" s="45"/>
      <c r="I22" s="48"/>
      <c r="M22" s="45"/>
      <c r="O22" s="48"/>
      <c r="S22" s="46"/>
    </row>
    <row r="23" spans="2:19" ht="22.8">
      <c r="B23" s="42"/>
      <c r="G23" s="45"/>
      <c r="I23" s="48"/>
      <c r="M23" s="45"/>
      <c r="O23" s="48"/>
      <c r="S23" s="45"/>
    </row>
    <row r="24" spans="2:19">
      <c r="G24" s="45"/>
      <c r="I24" s="48"/>
      <c r="M24" s="45"/>
      <c r="O24" s="48"/>
      <c r="S24" s="45"/>
    </row>
    <row r="25" spans="2:19">
      <c r="G25" s="46"/>
      <c r="I25" s="49"/>
      <c r="K25"/>
      <c r="M25" s="46"/>
      <c r="O25" s="49"/>
      <c r="S25" s="45"/>
    </row>
    <row r="26" spans="2:19">
      <c r="B26"/>
      <c r="D26"/>
      <c r="S26" s="45"/>
    </row>
    <row r="27" spans="2:19">
      <c r="S27" s="45"/>
    </row>
    <row r="28" spans="2:19">
      <c r="S28" s="46"/>
    </row>
    <row r="29" spans="2:19" ht="17.399999999999999">
      <c r="D29" s="190"/>
    </row>
    <row r="31" spans="2:19">
      <c r="K31"/>
    </row>
    <row r="32" spans="2:19">
      <c r="G32"/>
      <c r="K32" s="334"/>
    </row>
    <row r="39" spans="7:7" ht="22.8">
      <c r="G39" s="4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58ED-9885-45AD-B8AA-493D2B1C49F0}">
  <dimension ref="A3:H189"/>
  <sheetViews>
    <sheetView showGridLines="0" showRowColHeaders="0" zoomScale="130" zoomScaleNormal="130" workbookViewId="0">
      <pane ySplit="3" topLeftCell="A4" activePane="bottomLeft" state="frozen"/>
      <selection pane="bottomLeft"/>
    </sheetView>
  </sheetViews>
  <sheetFormatPr defaultRowHeight="14.4"/>
  <cols>
    <col min="1" max="1" width="2.88671875" customWidth="1"/>
    <col min="2" max="2" width="8" customWidth="1"/>
    <col min="3" max="4" width="1.5546875" customWidth="1"/>
    <col min="5" max="5" width="29" customWidth="1"/>
    <col min="6" max="6" width="16" customWidth="1"/>
    <col min="7" max="7" width="16.109375" customWidth="1"/>
    <col min="8" max="8" width="4.44140625" customWidth="1"/>
  </cols>
  <sheetData>
    <row r="3" spans="1:8" ht="12" customHeight="1"/>
    <row r="4" spans="1:8" ht="6" customHeight="1"/>
    <row r="5" spans="1:8" ht="12.75" customHeight="1">
      <c r="A5" s="216"/>
      <c r="B5" s="216"/>
      <c r="C5" s="216"/>
      <c r="D5" s="216"/>
      <c r="E5" s="216"/>
      <c r="F5" s="216"/>
      <c r="G5" s="216"/>
      <c r="H5" s="216"/>
    </row>
    <row r="6" spans="1:8" ht="12.75" customHeight="1">
      <c r="A6" s="216"/>
      <c r="B6" s="216"/>
      <c r="C6" s="216"/>
      <c r="D6" s="216"/>
      <c r="E6" s="216"/>
      <c r="F6" s="216"/>
      <c r="G6" s="216"/>
      <c r="H6" s="216"/>
    </row>
    <row r="7" spans="1:8" ht="12.75" customHeight="1">
      <c r="A7" s="216"/>
      <c r="B7" s="216"/>
      <c r="C7" s="216"/>
      <c r="D7" s="216"/>
      <c r="E7" s="216"/>
      <c r="F7" s="216"/>
      <c r="G7" s="216"/>
      <c r="H7" s="216"/>
    </row>
    <row r="8" spans="1:8" ht="17.25" customHeight="1">
      <c r="A8" s="216"/>
      <c r="B8" s="216"/>
      <c r="C8" s="216"/>
      <c r="D8" s="216"/>
      <c r="E8" s="216"/>
      <c r="F8" s="216"/>
      <c r="G8" s="216"/>
      <c r="H8" s="216"/>
    </row>
    <row r="9" spans="1:8" ht="12.75" customHeight="1">
      <c r="A9" s="216"/>
      <c r="B9" s="217" t="s">
        <v>468</v>
      </c>
      <c r="C9" s="216"/>
      <c r="D9" s="216"/>
      <c r="E9" s="218" t="s">
        <v>469</v>
      </c>
      <c r="F9" s="217" t="s">
        <v>470</v>
      </c>
      <c r="G9" s="218" t="s">
        <v>471</v>
      </c>
      <c r="H9" s="216"/>
    </row>
    <row r="10" spans="1:8" ht="6.75" customHeight="1">
      <c r="A10" s="216"/>
      <c r="B10" s="216"/>
      <c r="C10" s="216"/>
      <c r="D10" s="216"/>
      <c r="E10" s="216"/>
      <c r="F10" s="216"/>
      <c r="G10" s="216"/>
      <c r="H10" s="216"/>
    </row>
    <row r="11" spans="1:8" ht="12.75" customHeight="1">
      <c r="A11" s="216"/>
      <c r="B11" s="217" t="s">
        <v>472</v>
      </c>
      <c r="C11" s="216"/>
      <c r="D11" s="216"/>
      <c r="E11" s="240">
        <v>44865</v>
      </c>
      <c r="F11" s="217" t="s">
        <v>473</v>
      </c>
      <c r="G11" s="218" t="s">
        <v>474</v>
      </c>
      <c r="H11" s="216"/>
    </row>
    <row r="12" spans="1:8" ht="9" customHeight="1">
      <c r="A12" s="216"/>
      <c r="B12" s="216"/>
      <c r="C12" s="216"/>
      <c r="D12" s="216"/>
      <c r="E12" s="216"/>
      <c r="F12" s="216"/>
      <c r="G12" s="216"/>
      <c r="H12" s="216"/>
    </row>
    <row r="13" spans="1:8" ht="21" customHeight="1">
      <c r="A13" s="216"/>
      <c r="B13" s="424" t="s">
        <v>475</v>
      </c>
      <c r="C13" s="424"/>
      <c r="D13" s="424"/>
      <c r="E13" s="424"/>
      <c r="F13" s="424"/>
      <c r="G13" s="424"/>
      <c r="H13" s="216"/>
    </row>
    <row r="14" spans="1:8" ht="15.75" customHeight="1">
      <c r="A14" s="216"/>
      <c r="B14" s="216"/>
      <c r="C14" s="216"/>
      <c r="D14" s="216"/>
      <c r="E14" s="216"/>
      <c r="F14" s="216"/>
      <c r="G14" s="216"/>
      <c r="H14" s="216"/>
    </row>
    <row r="15" spans="1:8" ht="12.75" customHeight="1">
      <c r="A15" s="216"/>
      <c r="B15" s="219" t="s">
        <v>476</v>
      </c>
      <c r="C15" s="220"/>
      <c r="D15" s="220"/>
      <c r="E15" s="220" t="s">
        <v>477</v>
      </c>
      <c r="F15" s="221" t="s">
        <v>478</v>
      </c>
      <c r="G15" s="222" t="s">
        <v>479</v>
      </c>
      <c r="H15" s="216"/>
    </row>
    <row r="16" spans="1:8" ht="12.75" customHeight="1">
      <c r="A16" s="216"/>
      <c r="B16" s="223" t="s">
        <v>506</v>
      </c>
      <c r="C16" s="224"/>
      <c r="D16" s="224"/>
      <c r="E16" s="225" t="s">
        <v>480</v>
      </c>
      <c r="F16" s="226"/>
      <c r="G16" s="227">
        <v>0</v>
      </c>
      <c r="H16" s="216"/>
    </row>
    <row r="17" spans="1:8" ht="12.75" customHeight="1">
      <c r="A17" s="216"/>
      <c r="B17" s="228" t="s">
        <v>506</v>
      </c>
      <c r="C17" s="229"/>
      <c r="D17" s="229"/>
      <c r="E17" s="230" t="s">
        <v>481</v>
      </c>
      <c r="F17" s="231">
        <v>50000</v>
      </c>
      <c r="G17" s="231"/>
      <c r="H17" s="216"/>
    </row>
    <row r="18" spans="1:8" ht="12.75" customHeight="1">
      <c r="A18" s="216"/>
      <c r="B18" s="223" t="s">
        <v>506</v>
      </c>
      <c r="C18" s="224"/>
      <c r="D18" s="224"/>
      <c r="E18" s="225" t="s">
        <v>481</v>
      </c>
      <c r="F18" s="226">
        <v>50000</v>
      </c>
      <c r="G18" s="226"/>
      <c r="H18" s="216"/>
    </row>
    <row r="19" spans="1:8" ht="12.75" customHeight="1">
      <c r="A19" s="216"/>
      <c r="B19" s="228" t="s">
        <v>506</v>
      </c>
      <c r="C19" s="229"/>
      <c r="D19" s="229"/>
      <c r="E19" s="230" t="s">
        <v>482</v>
      </c>
      <c r="F19" s="231">
        <v>-3000</v>
      </c>
      <c r="G19" s="231"/>
      <c r="H19" s="216"/>
    </row>
    <row r="20" spans="1:8" ht="12.75" customHeight="1">
      <c r="A20" s="216"/>
      <c r="B20" s="223" t="s">
        <v>506</v>
      </c>
      <c r="C20" s="224"/>
      <c r="D20" s="224"/>
      <c r="E20" s="225" t="s">
        <v>483</v>
      </c>
      <c r="F20" s="226">
        <f>-6000+780.64</f>
        <v>-5219.3599999999997</v>
      </c>
      <c r="G20" s="226"/>
      <c r="H20" s="216"/>
    </row>
    <row r="21" spans="1:8" ht="12.75" customHeight="1">
      <c r="A21" s="216"/>
      <c r="B21" s="228" t="s">
        <v>506</v>
      </c>
      <c r="C21" s="229"/>
      <c r="D21" s="229"/>
      <c r="E21" s="232" t="s">
        <v>484</v>
      </c>
      <c r="F21" s="231"/>
      <c r="G21" s="233">
        <f>G16+F17+F18-F5+F19+F20</f>
        <v>91780.64</v>
      </c>
      <c r="H21" s="216"/>
    </row>
    <row r="22" spans="1:8" ht="12.75" customHeight="1">
      <c r="A22" s="216"/>
      <c r="B22" s="223" t="s">
        <v>507</v>
      </c>
      <c r="C22" s="224"/>
      <c r="D22" s="224"/>
      <c r="E22" s="225" t="s">
        <v>485</v>
      </c>
      <c r="F22" s="226">
        <v>-2000</v>
      </c>
      <c r="G22" s="226"/>
      <c r="H22" s="216"/>
    </row>
    <row r="23" spans="1:8" ht="12.75" customHeight="1">
      <c r="A23" s="216"/>
      <c r="B23" s="228" t="s">
        <v>507</v>
      </c>
      <c r="C23" s="229"/>
      <c r="D23" s="229"/>
      <c r="E23" s="232" t="s">
        <v>484</v>
      </c>
      <c r="F23" s="231"/>
      <c r="G23" s="233">
        <f>G21+F22</f>
        <v>89780.64</v>
      </c>
      <c r="H23" s="216"/>
    </row>
    <row r="24" spans="1:8" ht="12.75" customHeight="1">
      <c r="A24" s="216"/>
      <c r="B24" s="223" t="s">
        <v>508</v>
      </c>
      <c r="C24" s="224"/>
      <c r="D24" s="224"/>
      <c r="E24" s="225" t="s">
        <v>481</v>
      </c>
      <c r="F24" s="226">
        <v>3000</v>
      </c>
      <c r="G24" s="226"/>
      <c r="H24" s="216"/>
    </row>
    <row r="25" spans="1:8" ht="12.75" customHeight="1">
      <c r="A25" s="216"/>
      <c r="B25" s="228" t="s">
        <v>508</v>
      </c>
      <c r="C25" s="229"/>
      <c r="D25" s="229"/>
      <c r="E25" s="232" t="s">
        <v>484</v>
      </c>
      <c r="F25" s="231"/>
      <c r="G25" s="233">
        <f>G23+F24</f>
        <v>92780.64</v>
      </c>
      <c r="H25" s="216"/>
    </row>
    <row r="26" spans="1:8" ht="12.75" customHeight="1">
      <c r="A26" s="216"/>
      <c r="B26" s="223" t="s">
        <v>509</v>
      </c>
      <c r="C26" s="224"/>
      <c r="D26" s="224"/>
      <c r="E26" s="225" t="s">
        <v>510</v>
      </c>
      <c r="F26" s="226">
        <v>-80.64</v>
      </c>
      <c r="G26" s="226"/>
      <c r="H26" s="216"/>
    </row>
    <row r="27" spans="1:8" ht="12.75" customHeight="1">
      <c r="A27" s="216"/>
      <c r="B27" s="228" t="s">
        <v>509</v>
      </c>
      <c r="C27" s="229"/>
      <c r="D27" s="229"/>
      <c r="E27" s="232" t="s">
        <v>484</v>
      </c>
      <c r="F27" s="231"/>
      <c r="G27" s="233">
        <f>G25+F26</f>
        <v>92700</v>
      </c>
      <c r="H27" s="216"/>
    </row>
    <row r="28" spans="1:8" ht="12.75" customHeight="1">
      <c r="A28" s="216"/>
      <c r="H28" s="216"/>
    </row>
    <row r="29" spans="1:8" ht="12.75" customHeight="1">
      <c r="A29" s="216"/>
      <c r="H29" s="216"/>
    </row>
    <row r="30" spans="1:8" ht="12.75" customHeight="1">
      <c r="A30" s="216"/>
      <c r="B30" s="216"/>
      <c r="C30" s="216"/>
      <c r="D30" s="216"/>
      <c r="E30" s="216"/>
      <c r="F30" s="216"/>
      <c r="G30" s="216"/>
      <c r="H30" s="216"/>
    </row>
    <row r="31" spans="1:8" ht="12.75" customHeight="1">
      <c r="A31" s="216"/>
      <c r="B31" s="216"/>
      <c r="C31" s="216"/>
      <c r="D31" s="216"/>
      <c r="E31" s="216"/>
      <c r="F31" s="216"/>
      <c r="G31" s="216"/>
      <c r="H31" s="216"/>
    </row>
    <row r="32" spans="1:8" ht="12.75" customHeight="1">
      <c r="A32" s="216"/>
      <c r="B32" s="216"/>
      <c r="C32" s="216"/>
      <c r="D32" s="216"/>
      <c r="E32" s="216"/>
      <c r="F32" s="216"/>
      <c r="G32" s="216"/>
      <c r="H32" s="216"/>
    </row>
    <row r="33" spans="1:8" ht="12.75" customHeight="1">
      <c r="A33" s="216"/>
      <c r="B33" s="216"/>
      <c r="C33" s="216"/>
      <c r="D33" s="216"/>
      <c r="E33" s="216"/>
      <c r="F33" s="216"/>
      <c r="G33" s="216"/>
      <c r="H33" s="216"/>
    </row>
    <row r="34" spans="1:8" ht="12.75" customHeight="1">
      <c r="A34" s="216"/>
      <c r="B34" s="217" t="s">
        <v>468</v>
      </c>
      <c r="C34" s="216"/>
      <c r="D34" s="216"/>
      <c r="E34" s="218" t="s">
        <v>469</v>
      </c>
      <c r="F34" s="217" t="s">
        <v>470</v>
      </c>
      <c r="G34" s="218" t="s">
        <v>471</v>
      </c>
      <c r="H34" s="216"/>
    </row>
    <row r="35" spans="1:8" ht="12.75" customHeight="1">
      <c r="A35" s="216"/>
      <c r="B35" s="216"/>
      <c r="C35" s="216"/>
      <c r="D35" s="216"/>
      <c r="E35" s="216"/>
      <c r="F35" s="216"/>
      <c r="G35" s="216"/>
      <c r="H35" s="216"/>
    </row>
    <row r="36" spans="1:8" ht="12.75" customHeight="1">
      <c r="A36" s="216"/>
      <c r="B36" s="217" t="s">
        <v>472</v>
      </c>
      <c r="C36" s="216"/>
      <c r="D36" s="216"/>
      <c r="E36" s="240">
        <v>44895</v>
      </c>
      <c r="F36" s="217" t="s">
        <v>473</v>
      </c>
      <c r="G36" s="218" t="s">
        <v>486</v>
      </c>
      <c r="H36" s="216"/>
    </row>
    <row r="37" spans="1:8" ht="12.75" customHeight="1">
      <c r="A37" s="216"/>
      <c r="B37" s="216"/>
      <c r="C37" s="216"/>
      <c r="D37" s="216"/>
      <c r="E37" s="216"/>
      <c r="F37" s="216"/>
      <c r="G37" s="216"/>
      <c r="H37" s="216"/>
    </row>
    <row r="38" spans="1:8" ht="12.75" customHeight="1">
      <c r="A38" s="216"/>
      <c r="B38" s="424" t="s">
        <v>475</v>
      </c>
      <c r="C38" s="424"/>
      <c r="D38" s="424"/>
      <c r="E38" s="424"/>
      <c r="F38" s="424"/>
      <c r="G38" s="424"/>
      <c r="H38" s="216"/>
    </row>
    <row r="39" spans="1:8" ht="12.75" customHeight="1">
      <c r="A39" s="216"/>
      <c r="B39" s="216"/>
      <c r="C39" s="216"/>
      <c r="D39" s="216"/>
      <c r="E39" s="216"/>
      <c r="F39" s="216"/>
      <c r="G39" s="216"/>
      <c r="H39" s="216"/>
    </row>
    <row r="40" spans="1:8" ht="12.75" customHeight="1">
      <c r="A40" s="216"/>
      <c r="B40" s="219" t="s">
        <v>476</v>
      </c>
      <c r="C40" s="220"/>
      <c r="D40" s="220"/>
      <c r="E40" s="220" t="s">
        <v>477</v>
      </c>
      <c r="F40" s="221" t="s">
        <v>478</v>
      </c>
      <c r="G40" s="222" t="s">
        <v>479</v>
      </c>
      <c r="H40" s="216"/>
    </row>
    <row r="41" spans="1:8" ht="12.75" customHeight="1">
      <c r="A41" s="216"/>
      <c r="B41" s="223" t="s">
        <v>511</v>
      </c>
      <c r="C41" s="224"/>
      <c r="D41" s="224"/>
      <c r="E41" s="225" t="s">
        <v>480</v>
      </c>
      <c r="F41" s="226"/>
      <c r="G41" s="227">
        <f>G27</f>
        <v>92700</v>
      </c>
      <c r="H41" s="216"/>
    </row>
    <row r="42" spans="1:8" ht="12.75" customHeight="1">
      <c r="A42" s="216"/>
      <c r="B42" s="228" t="s">
        <v>512</v>
      </c>
      <c r="C42" s="229"/>
      <c r="D42" s="229"/>
      <c r="E42" s="230" t="s">
        <v>493</v>
      </c>
      <c r="F42" s="231">
        <v>-2645</v>
      </c>
      <c r="G42" s="231"/>
      <c r="H42" s="216"/>
    </row>
    <row r="43" spans="1:8" ht="12.75" customHeight="1">
      <c r="A43" s="216"/>
      <c r="B43" s="223" t="s">
        <v>512</v>
      </c>
      <c r="C43" s="224"/>
      <c r="D43" s="224"/>
      <c r="E43" s="234" t="s">
        <v>484</v>
      </c>
      <c r="F43" s="226"/>
      <c r="G43" s="227">
        <f>G41+F42</f>
        <v>90055</v>
      </c>
      <c r="H43" s="216"/>
    </row>
    <row r="44" spans="1:8" ht="12.75" customHeight="1">
      <c r="A44" s="216"/>
      <c r="B44" s="228" t="s">
        <v>513</v>
      </c>
      <c r="C44" s="229"/>
      <c r="D44" s="229"/>
      <c r="E44" s="230" t="s">
        <v>488</v>
      </c>
      <c r="F44" s="231">
        <v>-5000</v>
      </c>
      <c r="G44" s="231"/>
      <c r="H44" s="216"/>
    </row>
    <row r="45" spans="1:8" ht="12.75" customHeight="1">
      <c r="A45" s="216"/>
      <c r="B45" s="223" t="s">
        <v>513</v>
      </c>
      <c r="C45" s="224"/>
      <c r="D45" s="224"/>
      <c r="E45" s="234" t="s">
        <v>484</v>
      </c>
      <c r="F45" s="226"/>
      <c r="G45" s="227">
        <f>G43+F44</f>
        <v>85055</v>
      </c>
      <c r="H45" s="216"/>
    </row>
    <row r="46" spans="1:8" ht="12.75" customHeight="1">
      <c r="A46" s="216"/>
      <c r="B46" s="228" t="s">
        <v>514</v>
      </c>
      <c r="C46" s="229"/>
      <c r="D46" s="229"/>
      <c r="E46" s="230" t="s">
        <v>489</v>
      </c>
      <c r="F46" s="231">
        <v>-1000</v>
      </c>
      <c r="G46" s="233"/>
      <c r="H46" s="216"/>
    </row>
    <row r="47" spans="1:8" ht="12.75" customHeight="1">
      <c r="A47" s="216"/>
      <c r="B47" s="223" t="s">
        <v>514</v>
      </c>
      <c r="C47" s="224"/>
      <c r="D47" s="224"/>
      <c r="E47" s="234" t="s">
        <v>484</v>
      </c>
      <c r="F47" s="226"/>
      <c r="G47" s="227">
        <f>G45+F46</f>
        <v>84055</v>
      </c>
      <c r="H47" s="216"/>
    </row>
    <row r="48" spans="1:8" ht="12.75" customHeight="1">
      <c r="A48" s="216"/>
      <c r="B48" s="228" t="s">
        <v>515</v>
      </c>
      <c r="C48" s="229"/>
      <c r="D48" s="229"/>
      <c r="E48" s="230" t="s">
        <v>490</v>
      </c>
      <c r="F48" s="231">
        <v>-1074</v>
      </c>
      <c r="G48" s="233"/>
      <c r="H48" s="216"/>
    </row>
    <row r="49" spans="1:8" ht="12.75" customHeight="1">
      <c r="A49" s="216"/>
      <c r="B49" s="223" t="s">
        <v>515</v>
      </c>
      <c r="C49" s="224"/>
      <c r="D49" s="224"/>
      <c r="E49" s="225" t="s">
        <v>491</v>
      </c>
      <c r="F49" s="226">
        <v>-300</v>
      </c>
      <c r="G49" s="226"/>
      <c r="H49" s="216"/>
    </row>
    <row r="50" spans="1:8" ht="12.75" customHeight="1">
      <c r="A50" s="216"/>
      <c r="B50" s="228" t="s">
        <v>515</v>
      </c>
      <c r="C50" s="229"/>
      <c r="D50" s="229"/>
      <c r="E50" s="230" t="s">
        <v>492</v>
      </c>
      <c r="F50" s="231">
        <v>-10000</v>
      </c>
      <c r="G50" s="233"/>
      <c r="H50" s="216"/>
    </row>
    <row r="51" spans="1:8" ht="12.75" customHeight="1">
      <c r="A51" s="216"/>
      <c r="B51" s="228" t="s">
        <v>515</v>
      </c>
      <c r="C51" s="229"/>
      <c r="D51" s="229"/>
      <c r="E51" s="230" t="s">
        <v>516</v>
      </c>
      <c r="F51" s="231">
        <v>-780.64</v>
      </c>
      <c r="G51" s="233"/>
      <c r="H51" s="216"/>
    </row>
    <row r="52" spans="1:8" ht="12.75" customHeight="1">
      <c r="A52" s="216"/>
      <c r="B52" s="223" t="s">
        <v>515</v>
      </c>
      <c r="C52" s="224"/>
      <c r="D52" s="224"/>
      <c r="E52" s="234" t="s">
        <v>484</v>
      </c>
      <c r="F52" s="226"/>
      <c r="G52" s="227">
        <f>G47+F48+F49+F50+F51</f>
        <v>71900.36</v>
      </c>
      <c r="H52" s="216"/>
    </row>
    <row r="53" spans="1:8" ht="12.75" customHeight="1">
      <c r="A53" s="216"/>
      <c r="B53" s="228" t="s">
        <v>517</v>
      </c>
      <c r="C53" s="229"/>
      <c r="D53" s="229"/>
      <c r="E53" s="230" t="s">
        <v>481</v>
      </c>
      <c r="F53" s="231">
        <v>20000</v>
      </c>
      <c r="G53" s="233"/>
      <c r="H53" s="216"/>
    </row>
    <row r="54" spans="1:8" ht="12.75" customHeight="1">
      <c r="A54" s="216"/>
      <c r="B54" s="223" t="s">
        <v>517</v>
      </c>
      <c r="C54" s="224"/>
      <c r="D54" s="224"/>
      <c r="E54" s="234" t="s">
        <v>484</v>
      </c>
      <c r="F54" s="226"/>
      <c r="G54" s="227">
        <f>G52+F53</f>
        <v>91900.36</v>
      </c>
      <c r="H54" s="216"/>
    </row>
    <row r="55" spans="1:8" ht="12.75" customHeight="1">
      <c r="A55" s="216"/>
      <c r="B55" s="228" t="s">
        <v>518</v>
      </c>
      <c r="C55" s="229"/>
      <c r="D55" s="229"/>
      <c r="E55" s="241" t="s">
        <v>519</v>
      </c>
      <c r="F55" s="231">
        <v>-100.36</v>
      </c>
      <c r="G55" s="233"/>
      <c r="H55" s="216"/>
    </row>
    <row r="56" spans="1:8" ht="12.75" customHeight="1">
      <c r="A56" s="216"/>
      <c r="B56" s="223" t="s">
        <v>518</v>
      </c>
      <c r="C56" s="224"/>
      <c r="D56" s="224"/>
      <c r="E56" s="234" t="s">
        <v>484</v>
      </c>
      <c r="F56" s="226"/>
      <c r="G56" s="227">
        <f>G54+F55</f>
        <v>91800</v>
      </c>
      <c r="H56" s="216"/>
    </row>
    <row r="57" spans="1:8" ht="12.75" customHeight="1">
      <c r="A57" s="216"/>
      <c r="H57" s="216"/>
    </row>
    <row r="58" spans="1:8" ht="12.75" customHeight="1">
      <c r="A58" s="216"/>
      <c r="H58" s="216"/>
    </row>
    <row r="59" spans="1:8" ht="12.75" customHeight="1">
      <c r="A59" s="216"/>
      <c r="B59" s="216"/>
      <c r="C59" s="216"/>
      <c r="D59" s="216"/>
      <c r="E59" s="216"/>
      <c r="F59" s="216"/>
      <c r="G59" s="216"/>
      <c r="H59" s="216"/>
    </row>
    <row r="60" spans="1:8" ht="12.75" customHeight="1">
      <c r="A60" s="216"/>
      <c r="B60" s="216"/>
      <c r="C60" s="216"/>
      <c r="D60" s="216"/>
      <c r="E60" s="216"/>
      <c r="F60" s="216"/>
      <c r="G60" s="216"/>
      <c r="H60" s="216"/>
    </row>
    <row r="61" spans="1:8" ht="12.75" customHeight="1">
      <c r="A61" s="216"/>
      <c r="B61" s="216"/>
      <c r="C61" s="216"/>
      <c r="D61" s="216"/>
      <c r="E61" s="216"/>
      <c r="F61" s="216"/>
      <c r="G61" s="216"/>
      <c r="H61" s="216"/>
    </row>
    <row r="62" spans="1:8" ht="12.75" customHeight="1">
      <c r="A62" s="216"/>
      <c r="B62" s="216"/>
      <c r="C62" s="216"/>
      <c r="D62" s="216"/>
      <c r="E62" s="216"/>
      <c r="F62" s="216"/>
      <c r="G62" s="216"/>
      <c r="H62" s="216"/>
    </row>
    <row r="63" spans="1:8" ht="12.75" customHeight="1">
      <c r="A63" s="216"/>
      <c r="B63" s="217" t="s">
        <v>468</v>
      </c>
      <c r="C63" s="216"/>
      <c r="D63" s="216"/>
      <c r="E63" s="218" t="s">
        <v>469</v>
      </c>
      <c r="F63" s="217" t="s">
        <v>470</v>
      </c>
      <c r="G63" s="218" t="s">
        <v>471</v>
      </c>
      <c r="H63" s="216"/>
    </row>
    <row r="64" spans="1:8" ht="12.75" customHeight="1">
      <c r="A64" s="216"/>
      <c r="B64" s="216"/>
      <c r="C64" s="216"/>
      <c r="D64" s="216"/>
      <c r="E64" s="216"/>
      <c r="F64" s="216"/>
      <c r="G64" s="216"/>
      <c r="H64" s="216"/>
    </row>
    <row r="65" spans="1:8" ht="12.75" customHeight="1">
      <c r="A65" s="216"/>
      <c r="B65" s="217" t="s">
        <v>472</v>
      </c>
      <c r="C65" s="216"/>
      <c r="D65" s="216"/>
      <c r="E65" s="242" t="s">
        <v>520</v>
      </c>
      <c r="F65" s="217" t="s">
        <v>473</v>
      </c>
      <c r="G65" s="218" t="s">
        <v>487</v>
      </c>
      <c r="H65" s="216"/>
    </row>
    <row r="66" spans="1:8" ht="12.75" customHeight="1">
      <c r="A66" s="216"/>
      <c r="B66" s="216"/>
      <c r="C66" s="216"/>
      <c r="D66" s="216"/>
      <c r="E66" s="216"/>
      <c r="F66" s="216"/>
      <c r="G66" s="216"/>
      <c r="H66" s="216"/>
    </row>
    <row r="67" spans="1:8" ht="12.75" customHeight="1">
      <c r="A67" s="216"/>
      <c r="B67" s="424" t="s">
        <v>475</v>
      </c>
      <c r="C67" s="424"/>
      <c r="D67" s="424"/>
      <c r="E67" s="424"/>
      <c r="F67" s="424"/>
      <c r="G67" s="424"/>
      <c r="H67" s="216"/>
    </row>
    <row r="68" spans="1:8" ht="12.75" customHeight="1">
      <c r="A68" s="216"/>
      <c r="B68" s="216"/>
      <c r="C68" s="216"/>
      <c r="D68" s="216"/>
      <c r="E68" s="216"/>
      <c r="F68" s="216"/>
      <c r="G68" s="216"/>
      <c r="H68" s="216"/>
    </row>
    <row r="69" spans="1:8" ht="12.75" customHeight="1">
      <c r="A69" s="216"/>
      <c r="B69" s="219" t="s">
        <v>476</v>
      </c>
      <c r="C69" s="220"/>
      <c r="D69" s="220"/>
      <c r="E69" s="220" t="s">
        <v>477</v>
      </c>
      <c r="F69" s="221" t="s">
        <v>478</v>
      </c>
      <c r="G69" s="222" t="s">
        <v>479</v>
      </c>
      <c r="H69" s="216"/>
    </row>
    <row r="70" spans="1:8" ht="12.75" customHeight="1">
      <c r="A70" s="216"/>
      <c r="B70" s="223" t="s">
        <v>521</v>
      </c>
      <c r="C70" s="224"/>
      <c r="D70" s="224"/>
      <c r="E70" s="225" t="s">
        <v>480</v>
      </c>
      <c r="F70" s="226"/>
      <c r="G70" s="227">
        <f>G56</f>
        <v>91800</v>
      </c>
      <c r="H70" s="216"/>
    </row>
    <row r="71" spans="1:8" ht="12.75" customHeight="1">
      <c r="A71" s="216"/>
      <c r="B71" s="228" t="s">
        <v>522</v>
      </c>
      <c r="C71" s="229"/>
      <c r="D71" s="229"/>
      <c r="E71" s="230" t="s">
        <v>493</v>
      </c>
      <c r="F71" s="231">
        <v>-3415</v>
      </c>
      <c r="G71" s="231"/>
      <c r="H71" s="216"/>
    </row>
    <row r="72" spans="1:8" ht="12.75" customHeight="1">
      <c r="A72" s="216"/>
      <c r="B72" s="223" t="s">
        <v>522</v>
      </c>
      <c r="C72" s="224"/>
      <c r="D72" s="224"/>
      <c r="E72" s="234" t="s">
        <v>484</v>
      </c>
      <c r="F72" s="226"/>
      <c r="G72" s="227">
        <f>G70+F71</f>
        <v>88385</v>
      </c>
      <c r="H72" s="216"/>
    </row>
    <row r="73" spans="1:8" ht="12.75" customHeight="1">
      <c r="A73" s="216"/>
      <c r="B73" s="228" t="s">
        <v>523</v>
      </c>
      <c r="C73" s="229"/>
      <c r="D73" s="229"/>
      <c r="E73" s="230" t="s">
        <v>491</v>
      </c>
      <c r="F73" s="231">
        <v>-320</v>
      </c>
      <c r="G73" s="233"/>
      <c r="H73" s="216"/>
    </row>
    <row r="74" spans="1:8" ht="12.75" customHeight="1">
      <c r="A74" s="216"/>
      <c r="B74" s="223" t="s">
        <v>523</v>
      </c>
      <c r="C74" s="224"/>
      <c r="D74" s="224"/>
      <c r="E74" s="234" t="s">
        <v>484</v>
      </c>
      <c r="F74" s="226"/>
      <c r="G74" s="227">
        <f>G72+F73</f>
        <v>88065</v>
      </c>
      <c r="H74" s="216"/>
    </row>
    <row r="75" spans="1:8" ht="12.75" customHeight="1">
      <c r="A75" s="216"/>
      <c r="B75" s="228" t="s">
        <v>524</v>
      </c>
      <c r="C75" s="229"/>
      <c r="D75" s="229"/>
      <c r="E75" s="230" t="s">
        <v>481</v>
      </c>
      <c r="F75" s="231">
        <v>5000</v>
      </c>
      <c r="G75" s="233"/>
      <c r="H75" s="216"/>
    </row>
    <row r="76" spans="1:8" ht="12.75" customHeight="1">
      <c r="A76" s="216"/>
      <c r="B76" s="223" t="s">
        <v>524</v>
      </c>
      <c r="C76" s="224"/>
      <c r="D76" s="224"/>
      <c r="E76" s="225" t="s">
        <v>494</v>
      </c>
      <c r="F76" s="226">
        <v>-900</v>
      </c>
      <c r="G76" s="227"/>
      <c r="H76" s="216"/>
    </row>
    <row r="77" spans="1:8" ht="12.75" customHeight="1">
      <c r="A77" s="216"/>
      <c r="B77" s="228" t="s">
        <v>524</v>
      </c>
      <c r="C77" s="229"/>
      <c r="D77" s="229"/>
      <c r="E77" s="232" t="s">
        <v>484</v>
      </c>
      <c r="F77" s="231"/>
      <c r="G77" s="233">
        <f>G74+F75+F76</f>
        <v>92165</v>
      </c>
      <c r="H77" s="216"/>
    </row>
    <row r="78" spans="1:8" ht="12.75" customHeight="1">
      <c r="A78" s="216"/>
      <c r="B78" s="223" t="s">
        <v>525</v>
      </c>
      <c r="C78" s="224"/>
      <c r="D78" s="224"/>
      <c r="E78" s="225" t="s">
        <v>481</v>
      </c>
      <c r="F78" s="226">
        <v>5500</v>
      </c>
      <c r="G78" s="227"/>
      <c r="H78" s="216"/>
    </row>
    <row r="79" spans="1:8" ht="12.75" customHeight="1">
      <c r="A79" s="216"/>
      <c r="B79" s="228" t="s">
        <v>525</v>
      </c>
      <c r="C79" s="229"/>
      <c r="D79" s="229"/>
      <c r="E79" s="230" t="s">
        <v>490</v>
      </c>
      <c r="F79" s="231">
        <v>-1432</v>
      </c>
      <c r="G79" s="233"/>
      <c r="H79" s="216"/>
    </row>
    <row r="80" spans="1:8" ht="12.75" customHeight="1">
      <c r="A80" s="216"/>
      <c r="B80" s="223" t="s">
        <v>525</v>
      </c>
      <c r="C80" s="224"/>
      <c r="D80" s="224"/>
      <c r="E80" s="225" t="s">
        <v>495</v>
      </c>
      <c r="F80" s="226">
        <v>-130</v>
      </c>
      <c r="G80" s="227"/>
      <c r="H80" s="216"/>
    </row>
    <row r="81" spans="1:8" ht="12.75" customHeight="1">
      <c r="A81" s="216"/>
      <c r="B81" s="228" t="s">
        <v>525</v>
      </c>
      <c r="C81" s="229"/>
      <c r="D81" s="229"/>
      <c r="E81" s="232" t="s">
        <v>484</v>
      </c>
      <c r="F81" s="231"/>
      <c r="G81" s="233">
        <f>G77+F78+F79+F80</f>
        <v>96103</v>
      </c>
      <c r="H81" s="216"/>
    </row>
    <row r="82" spans="1:8" ht="12.75" customHeight="1">
      <c r="A82" s="216"/>
      <c r="B82" s="223" t="s">
        <v>526</v>
      </c>
      <c r="C82" s="224"/>
      <c r="D82" s="224"/>
      <c r="E82" s="225" t="s">
        <v>481</v>
      </c>
      <c r="F82" s="226">
        <v>20000</v>
      </c>
      <c r="G82" s="227"/>
      <c r="H82" s="216"/>
    </row>
    <row r="83" spans="1:8" ht="12.75" customHeight="1">
      <c r="A83" s="216"/>
      <c r="B83" s="228" t="s">
        <v>526</v>
      </c>
      <c r="C83" s="229"/>
      <c r="D83" s="229"/>
      <c r="E83" s="232" t="s">
        <v>484</v>
      </c>
      <c r="F83" s="231"/>
      <c r="G83" s="233">
        <f>G81+F82</f>
        <v>116103</v>
      </c>
      <c r="H83" s="216"/>
    </row>
    <row r="84" spans="1:8" ht="12.75" customHeight="1">
      <c r="A84" s="216"/>
      <c r="B84" s="223" t="s">
        <v>509</v>
      </c>
      <c r="C84" s="224"/>
      <c r="D84" s="224"/>
      <c r="E84" s="225" t="s">
        <v>510</v>
      </c>
      <c r="F84" s="226">
        <v>-103</v>
      </c>
      <c r="G84" s="226"/>
      <c r="H84" s="216"/>
    </row>
    <row r="85" spans="1:8" ht="12.75" customHeight="1">
      <c r="A85" s="216"/>
      <c r="B85" s="228" t="s">
        <v>509</v>
      </c>
      <c r="C85" s="229"/>
      <c r="D85" s="229"/>
      <c r="E85" s="232" t="s">
        <v>484</v>
      </c>
      <c r="F85" s="231"/>
      <c r="G85" s="233">
        <f>G83+F84</f>
        <v>116000</v>
      </c>
      <c r="H85" s="216"/>
    </row>
    <row r="86" spans="1:8" ht="12.75" customHeight="1">
      <c r="A86" s="216"/>
      <c r="H86" s="216"/>
    </row>
    <row r="87" spans="1:8" ht="12.75" customHeight="1">
      <c r="A87" s="216"/>
      <c r="H87" s="216"/>
    </row>
    <row r="88" spans="1:8" ht="12.75" customHeight="1">
      <c r="A88" s="216"/>
      <c r="H88" s="216"/>
    </row>
    <row r="89" spans="1:8" ht="12.75" customHeight="1">
      <c r="A89" s="216"/>
      <c r="H89" s="216"/>
    </row>
    <row r="90" spans="1:8" ht="12.75" customHeight="1">
      <c r="A90" s="216"/>
      <c r="H90" s="216"/>
    </row>
    <row r="91" spans="1:8" ht="12.75" customHeight="1">
      <c r="A91" s="216"/>
      <c r="H91" s="216"/>
    </row>
    <row r="92" spans="1:8" ht="12.75" customHeight="1">
      <c r="A92" s="216"/>
      <c r="H92" s="216"/>
    </row>
    <row r="93" spans="1:8" ht="12.75" customHeight="1">
      <c r="A93" s="216"/>
      <c r="H93" s="216"/>
    </row>
    <row r="94" spans="1:8" ht="12.75" customHeight="1">
      <c r="A94" s="216"/>
      <c r="H94" s="216"/>
    </row>
    <row r="95" spans="1:8" ht="12.75" customHeight="1">
      <c r="A95" s="216"/>
      <c r="H95" s="216"/>
    </row>
    <row r="96" spans="1:8" ht="12.75" customHeight="1">
      <c r="A96" s="216"/>
      <c r="H96" s="216"/>
    </row>
    <row r="97" spans="1:8" ht="12.75" customHeight="1">
      <c r="A97" s="216"/>
      <c r="H97" s="216"/>
    </row>
    <row r="98" spans="1:8" ht="12.75" customHeight="1">
      <c r="A98" s="216"/>
      <c r="H98" s="216"/>
    </row>
    <row r="99" spans="1:8" ht="12.75" customHeight="1">
      <c r="A99" s="216"/>
      <c r="H99" s="216"/>
    </row>
    <row r="100" spans="1:8" ht="12.75" customHeight="1">
      <c r="A100" s="216"/>
      <c r="H100" s="216"/>
    </row>
    <row r="101" spans="1:8" ht="12.75" customHeight="1">
      <c r="A101" s="216"/>
      <c r="H101" s="216"/>
    </row>
    <row r="102" spans="1:8" ht="12.75" customHeight="1">
      <c r="A102" s="216"/>
      <c r="H102" s="216"/>
    </row>
    <row r="103" spans="1:8" ht="12.75" customHeight="1">
      <c r="A103" s="216"/>
      <c r="H103" s="216"/>
    </row>
    <row r="104" spans="1:8" ht="12.75" customHeight="1">
      <c r="A104" s="216"/>
      <c r="H104" s="216"/>
    </row>
    <row r="105" spans="1:8" s="236" customFormat="1" ht="19.8" customHeight="1">
      <c r="A105" s="235"/>
      <c r="E105" s="237"/>
      <c r="H105" s="235"/>
    </row>
    <row r="106" spans="1:8" ht="12.75" customHeight="1">
      <c r="A106" s="216"/>
      <c r="H106" s="216"/>
    </row>
    <row r="107" spans="1:8" ht="12.75" customHeight="1">
      <c r="A107" s="216"/>
      <c r="H107" s="216"/>
    </row>
    <row r="108" spans="1:8" ht="12.75" customHeight="1">
      <c r="A108" s="216"/>
      <c r="H108" s="216"/>
    </row>
    <row r="109" spans="1:8" ht="12.75" customHeight="1">
      <c r="A109" s="216"/>
      <c r="H109" s="216"/>
    </row>
    <row r="110" spans="1:8" ht="12.75" customHeight="1">
      <c r="A110" s="216"/>
      <c r="H110" s="216"/>
    </row>
    <row r="111" spans="1:8" ht="12.75" customHeight="1">
      <c r="A111" s="216"/>
      <c r="H111" s="216"/>
    </row>
    <row r="112" spans="1:8" ht="12.75" customHeight="1">
      <c r="A112" s="216"/>
      <c r="H112" s="216"/>
    </row>
    <row r="113" spans="1:8" ht="12.75" customHeight="1">
      <c r="A113" s="216"/>
      <c r="H113" s="216"/>
    </row>
    <row r="114" spans="1:8" ht="12.75" customHeight="1">
      <c r="A114" s="216"/>
      <c r="H114" s="216"/>
    </row>
    <row r="115" spans="1:8" ht="12.75" customHeight="1">
      <c r="A115" s="216"/>
      <c r="H115" s="216"/>
    </row>
    <row r="116" spans="1:8" ht="12.75" customHeight="1">
      <c r="A116" s="216"/>
      <c r="H116" s="216"/>
    </row>
    <row r="117" spans="1:8" ht="12.75" customHeight="1">
      <c r="A117" s="216"/>
      <c r="H117" s="216"/>
    </row>
    <row r="118" spans="1:8" ht="12.75" customHeight="1">
      <c r="A118" s="216"/>
      <c r="H118" s="216"/>
    </row>
    <row r="119" spans="1:8" ht="12.75" customHeight="1">
      <c r="A119" s="216"/>
      <c r="H119" s="216"/>
    </row>
    <row r="120" spans="1:8" ht="12.75" customHeight="1">
      <c r="A120" s="216"/>
      <c r="H120" s="216"/>
    </row>
    <row r="121" spans="1:8" ht="12.75" customHeight="1">
      <c r="A121" s="216"/>
      <c r="H121" s="216"/>
    </row>
    <row r="122" spans="1:8" ht="12.75" customHeight="1">
      <c r="A122" s="216"/>
      <c r="H122" s="216"/>
    </row>
    <row r="123" spans="1:8" ht="12.75" customHeight="1">
      <c r="A123" s="216"/>
      <c r="H123" s="216"/>
    </row>
    <row r="124" spans="1:8" ht="12.75" customHeight="1">
      <c r="A124" s="216"/>
      <c r="H124" s="216"/>
    </row>
    <row r="125" spans="1:8" ht="12.75" customHeight="1">
      <c r="A125" s="216"/>
      <c r="H125" s="216"/>
    </row>
    <row r="126" spans="1:8" ht="12.75" customHeight="1">
      <c r="A126" s="216"/>
      <c r="H126" s="216"/>
    </row>
    <row r="127" spans="1:8" ht="12.75" customHeight="1">
      <c r="A127" s="216"/>
      <c r="H127" s="216"/>
    </row>
    <row r="128" spans="1:8" ht="12.75" customHeight="1">
      <c r="A128" s="216"/>
      <c r="H128" s="216"/>
    </row>
    <row r="129" spans="1:8" ht="12.75" customHeight="1">
      <c r="A129" s="216"/>
      <c r="H129" s="216"/>
    </row>
    <row r="130" spans="1:8" ht="12.75" customHeight="1">
      <c r="A130" s="216"/>
      <c r="H130" s="216"/>
    </row>
    <row r="131" spans="1:8" ht="12.75" customHeight="1">
      <c r="A131" s="216"/>
      <c r="H131" s="216"/>
    </row>
    <row r="132" spans="1:8" ht="12.75" customHeight="1">
      <c r="A132" s="216"/>
      <c r="H132" s="216"/>
    </row>
    <row r="133" spans="1:8" ht="12.75" customHeight="1">
      <c r="A133" s="216"/>
      <c r="H133" s="216"/>
    </row>
    <row r="134" spans="1:8" ht="12.75" customHeight="1">
      <c r="A134" s="216"/>
      <c r="H134" s="216"/>
    </row>
    <row r="135" spans="1:8" ht="12.75" customHeight="1">
      <c r="A135" s="216"/>
      <c r="H135" s="216"/>
    </row>
    <row r="136" spans="1:8" ht="12.75" customHeight="1">
      <c r="A136" s="216"/>
      <c r="H136" s="216"/>
    </row>
    <row r="137" spans="1:8" ht="12.75" customHeight="1">
      <c r="A137" s="216"/>
      <c r="H137" s="216"/>
    </row>
    <row r="138" spans="1:8" ht="12.75" customHeight="1">
      <c r="A138" s="216"/>
      <c r="H138" s="216"/>
    </row>
    <row r="139" spans="1:8" ht="12.75" customHeight="1">
      <c r="A139" s="216"/>
      <c r="H139" s="216"/>
    </row>
    <row r="140" spans="1:8" ht="12.75" customHeight="1">
      <c r="A140" s="216"/>
      <c r="H140" s="216"/>
    </row>
    <row r="141" spans="1:8" ht="12.75" customHeight="1">
      <c r="A141" s="216"/>
      <c r="H141" s="216"/>
    </row>
    <row r="142" spans="1:8" ht="12.75" customHeight="1">
      <c r="A142" s="216"/>
      <c r="H142" s="216"/>
    </row>
    <row r="143" spans="1:8" ht="12.75" customHeight="1">
      <c r="A143" s="216"/>
      <c r="H143" s="216"/>
    </row>
    <row r="144" spans="1:8" ht="12.75" customHeight="1">
      <c r="A144" s="216"/>
      <c r="H144" s="216"/>
    </row>
    <row r="145" spans="1:8" ht="12.75" customHeight="1">
      <c r="A145" s="216"/>
      <c r="H145" s="216"/>
    </row>
    <row r="146" spans="1:8" ht="12.75" customHeight="1">
      <c r="A146" s="216"/>
      <c r="H146" s="216"/>
    </row>
    <row r="147" spans="1:8" ht="12.75" customHeight="1">
      <c r="A147" s="216"/>
      <c r="H147" s="216"/>
    </row>
    <row r="148" spans="1:8" ht="12.75" customHeight="1">
      <c r="A148" s="216"/>
      <c r="H148" s="216"/>
    </row>
    <row r="149" spans="1:8" ht="12.75" customHeight="1">
      <c r="A149" s="216"/>
      <c r="H149" s="216"/>
    </row>
    <row r="150" spans="1:8" ht="12.75" customHeight="1">
      <c r="A150" s="216"/>
      <c r="H150" s="216"/>
    </row>
    <row r="151" spans="1:8" ht="12.75" customHeight="1">
      <c r="A151" s="216"/>
      <c r="H151" s="216"/>
    </row>
    <row r="152" spans="1:8" ht="12.75" customHeight="1">
      <c r="A152" s="216"/>
      <c r="H152" s="216"/>
    </row>
    <row r="153" spans="1:8" ht="12.75" customHeight="1">
      <c r="A153" s="216"/>
      <c r="H153" s="216"/>
    </row>
    <row r="154" spans="1:8" ht="12.75" customHeight="1">
      <c r="A154" s="216"/>
      <c r="H154" s="216"/>
    </row>
    <row r="155" spans="1:8" ht="12.75" customHeight="1">
      <c r="A155" s="216"/>
      <c r="H155" s="216"/>
    </row>
    <row r="156" spans="1:8" ht="12.75" customHeight="1">
      <c r="A156" s="216"/>
      <c r="H156" s="216"/>
    </row>
    <row r="157" spans="1:8" ht="12.75" customHeight="1">
      <c r="A157" s="216"/>
      <c r="H157" s="216"/>
    </row>
    <row r="158" spans="1:8" ht="12.75" customHeight="1">
      <c r="A158" s="216"/>
      <c r="H158" s="216"/>
    </row>
    <row r="159" spans="1:8" ht="12.75" customHeight="1">
      <c r="A159" s="216"/>
      <c r="H159" s="216"/>
    </row>
    <row r="160" spans="1:8" ht="12.75" customHeight="1">
      <c r="A160" s="216"/>
      <c r="H160" s="216"/>
    </row>
    <row r="161" spans="1:8" ht="12.75" customHeight="1">
      <c r="A161" s="216"/>
      <c r="H161" s="216"/>
    </row>
    <row r="162" spans="1:8" ht="12.75" customHeight="1">
      <c r="A162" s="216"/>
      <c r="H162" s="216"/>
    </row>
    <row r="163" spans="1:8" ht="12.75" customHeight="1">
      <c r="A163" s="216"/>
      <c r="H163" s="216"/>
    </row>
    <row r="164" spans="1:8" ht="12.75" customHeight="1">
      <c r="A164" s="216"/>
      <c r="H164" s="216"/>
    </row>
    <row r="165" spans="1:8" ht="12.75" customHeight="1">
      <c r="A165" s="216"/>
      <c r="H165" s="216"/>
    </row>
    <row r="166" spans="1:8" ht="12.75" customHeight="1">
      <c r="A166" s="216"/>
      <c r="H166" s="216"/>
    </row>
    <row r="167" spans="1:8" ht="12.75" customHeight="1">
      <c r="A167" s="216"/>
      <c r="H167" s="216"/>
    </row>
    <row r="168" spans="1:8" ht="12.75" customHeight="1">
      <c r="A168" s="216"/>
      <c r="H168" s="216"/>
    </row>
    <row r="169" spans="1:8" ht="12.75" customHeight="1">
      <c r="A169" s="216"/>
      <c r="H169" s="216"/>
    </row>
    <row r="170" spans="1:8" ht="12.75" customHeight="1">
      <c r="A170" s="216"/>
      <c r="H170" s="216"/>
    </row>
    <row r="171" spans="1:8" ht="12.75" customHeight="1">
      <c r="A171" s="216"/>
      <c r="H171" s="216"/>
    </row>
    <row r="172" spans="1:8" ht="12.75" customHeight="1">
      <c r="A172" s="216"/>
      <c r="H172" s="216"/>
    </row>
    <row r="173" spans="1:8" ht="12.75" customHeight="1">
      <c r="A173" s="216"/>
      <c r="H173" s="216"/>
    </row>
    <row r="174" spans="1:8" ht="12.75" customHeight="1">
      <c r="A174" s="216"/>
      <c r="H174" s="216"/>
    </row>
    <row r="175" spans="1:8" ht="12.75" customHeight="1">
      <c r="A175" s="216"/>
      <c r="H175" s="216"/>
    </row>
    <row r="176" spans="1:8" ht="12.75" customHeight="1">
      <c r="A176" s="216"/>
      <c r="H176" s="216"/>
    </row>
    <row r="177" spans="1:8" ht="12.75" customHeight="1">
      <c r="A177" s="216"/>
      <c r="H177" s="216"/>
    </row>
    <row r="178" spans="1:8" ht="12.75" customHeight="1">
      <c r="A178" s="216"/>
      <c r="H178" s="216"/>
    </row>
    <row r="179" spans="1:8" ht="12.75" customHeight="1">
      <c r="A179" s="216"/>
      <c r="H179" s="216"/>
    </row>
    <row r="180" spans="1:8" ht="12.75" customHeight="1">
      <c r="A180" s="216"/>
      <c r="H180" s="216"/>
    </row>
    <row r="181" spans="1:8" ht="12.75" customHeight="1">
      <c r="A181" s="216"/>
      <c r="H181" s="216"/>
    </row>
    <row r="182" spans="1:8" ht="12.75" customHeight="1">
      <c r="A182" s="216"/>
      <c r="H182" s="216"/>
    </row>
    <row r="183" spans="1:8" ht="12.75" customHeight="1">
      <c r="A183" s="216"/>
      <c r="H183" s="216"/>
    </row>
    <row r="184" spans="1:8" ht="12.75" customHeight="1">
      <c r="A184" s="216"/>
      <c r="H184" s="216"/>
    </row>
    <row r="185" spans="1:8" ht="12.75" customHeight="1">
      <c r="A185" s="216"/>
      <c r="H185" s="216"/>
    </row>
    <row r="186" spans="1:8" ht="12.75" customHeight="1">
      <c r="A186" s="216"/>
      <c r="H186" s="216"/>
    </row>
    <row r="187" spans="1:8" ht="12.75" customHeight="1">
      <c r="A187" s="216"/>
      <c r="H187" s="216"/>
    </row>
    <row r="188" spans="1:8" ht="12.75" customHeight="1">
      <c r="A188" s="216"/>
      <c r="H188" s="216"/>
    </row>
    <row r="189" spans="1:8" ht="12.75" customHeight="1">
      <c r="A189" s="216"/>
      <c r="H189" s="216"/>
    </row>
  </sheetData>
  <sheetProtection algorithmName="SHA-512" hashValue="5Z/Zab/yJ9bNqdWS6hP4qp/lmFUA1WNwrfqV8Wra9wfdjanO7nLK4GkZwIZeaZ58R8NTTsRewKYUg+OLRA7U9w==" saltValue="ETy1zpvDY9MWjlJaRIbV0Q==" spinCount="100000" sheet="1" objects="1" scenarios="1"/>
  <mergeCells count="3">
    <mergeCell ref="B13:G13"/>
    <mergeCell ref="B38:G38"/>
    <mergeCell ref="B67:G67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68D9C-55A3-4BE5-BD23-036A4707DAF3}">
  <dimension ref="B3:S17"/>
  <sheetViews>
    <sheetView showGridLines="0" showRowColHeaders="0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6.77734375" defaultRowHeight="17.399999999999999"/>
  <cols>
    <col min="1" max="1" width="4" style="56" customWidth="1"/>
    <col min="2" max="2" width="28" style="56" bestFit="1" customWidth="1"/>
    <col min="3" max="4" width="0.77734375" style="56" customWidth="1"/>
    <col min="5" max="5" width="15.6640625" style="202" customWidth="1"/>
    <col min="6" max="6" width="0.5546875" style="202" customWidth="1"/>
    <col min="7" max="7" width="13.5546875" style="203" bestFit="1" customWidth="1"/>
    <col min="8" max="8" width="12.44140625" style="56" bestFit="1" customWidth="1"/>
    <col min="9" max="9" width="19.33203125" style="56" bestFit="1" customWidth="1"/>
    <col min="10" max="10" width="0.44140625" customWidth="1"/>
    <col min="11" max="11" width="6.109375" style="202" bestFit="1" customWidth="1"/>
    <col min="12" max="12" width="19.33203125" style="56" bestFit="1" customWidth="1"/>
    <col min="13" max="13" width="0.44140625" style="56" customWidth="1"/>
    <col min="14" max="14" width="9.5546875" style="56" bestFit="1" customWidth="1"/>
    <col min="15" max="15" width="9.5546875" style="56" customWidth="1"/>
    <col min="16" max="16" width="19.33203125" style="56" bestFit="1" customWidth="1"/>
    <col min="17" max="17" width="0.6640625" style="56" customWidth="1"/>
    <col min="18" max="18" width="19.33203125" style="56" bestFit="1" customWidth="1"/>
    <col min="19" max="19" width="20.5546875" style="56" bestFit="1" customWidth="1"/>
    <col min="20" max="16384" width="6.77734375" style="56"/>
  </cols>
  <sheetData>
    <row r="3" spans="2:19" s="193" customFormat="1" ht="30">
      <c r="B3" s="243" t="s">
        <v>433</v>
      </c>
      <c r="C3" s="244"/>
      <c r="D3" s="244"/>
      <c r="E3" s="245" t="s">
        <v>435</v>
      </c>
      <c r="F3" s="246"/>
      <c r="G3" s="247" t="s">
        <v>436</v>
      </c>
      <c r="H3" s="247" t="s">
        <v>437</v>
      </c>
      <c r="I3" s="247" t="s">
        <v>438</v>
      </c>
      <c r="J3" s="244"/>
      <c r="K3" s="243" t="s">
        <v>439</v>
      </c>
      <c r="L3" s="243" t="s">
        <v>441</v>
      </c>
      <c r="M3" s="248"/>
      <c r="N3" s="249" t="s">
        <v>440</v>
      </c>
      <c r="O3" s="428" t="s">
        <v>442</v>
      </c>
      <c r="P3" s="429"/>
      <c r="Q3" s="244"/>
      <c r="R3" s="250" t="s">
        <v>443</v>
      </c>
      <c r="S3" s="247" t="s">
        <v>444</v>
      </c>
    </row>
    <row r="4" spans="2:19" ht="3.6" customHeight="1">
      <c r="H4" s="203"/>
      <c r="I4" s="203"/>
      <c r="L4" s="203"/>
      <c r="N4" s="202"/>
      <c r="O4" s="202"/>
      <c r="P4" s="203"/>
      <c r="R4" s="203"/>
      <c r="S4" s="203"/>
    </row>
    <row r="5" spans="2:19" ht="3.6" customHeight="1">
      <c r="H5" s="203"/>
      <c r="I5" s="203"/>
      <c r="L5" s="203"/>
      <c r="N5" s="202"/>
      <c r="O5" s="202"/>
      <c r="P5" s="203"/>
      <c r="R5" s="203"/>
      <c r="S5" s="203"/>
    </row>
    <row r="6" spans="2:19">
      <c r="B6" s="430" t="s">
        <v>434</v>
      </c>
      <c r="E6" s="433">
        <v>44849</v>
      </c>
      <c r="G6" s="425">
        <f>3000-330</f>
        <v>2670</v>
      </c>
      <c r="H6" s="425">
        <f>G6*10%</f>
        <v>267</v>
      </c>
      <c r="I6" s="425">
        <f>G6-H6</f>
        <v>2403</v>
      </c>
      <c r="K6" s="436">
        <v>0.2</v>
      </c>
      <c r="L6" s="425">
        <f>I6*K6</f>
        <v>480.6</v>
      </c>
      <c r="N6" s="204"/>
      <c r="O6" s="204" t="s">
        <v>527</v>
      </c>
      <c r="P6" s="196">
        <f>$I$6*N6</f>
        <v>0</v>
      </c>
      <c r="R6" s="196">
        <f>P6</f>
        <v>0</v>
      </c>
      <c r="S6" s="198">
        <f>I6-P6</f>
        <v>2403</v>
      </c>
    </row>
    <row r="7" spans="2:19">
      <c r="B7" s="431"/>
      <c r="E7" s="434"/>
      <c r="G7" s="426"/>
      <c r="H7" s="426"/>
      <c r="I7" s="426"/>
      <c r="K7" s="437"/>
      <c r="L7" s="426"/>
      <c r="N7" s="204">
        <f t="shared" ref="N7:N8" si="0">$K$6/12</f>
        <v>1.6666666666666666E-2</v>
      </c>
      <c r="O7" s="204" t="s">
        <v>528</v>
      </c>
      <c r="P7" s="196">
        <f t="shared" ref="P7:P8" si="1">$I$6*N7</f>
        <v>40.049999999999997</v>
      </c>
      <c r="R7" s="196">
        <f>R6+P7</f>
        <v>40.049999999999997</v>
      </c>
      <c r="S7" s="198">
        <f>S6-P7</f>
        <v>2362.9499999999998</v>
      </c>
    </row>
    <row r="8" spans="2:19">
      <c r="B8" s="432"/>
      <c r="E8" s="435"/>
      <c r="G8" s="427"/>
      <c r="H8" s="427"/>
      <c r="I8" s="427"/>
      <c r="K8" s="438"/>
      <c r="L8" s="427"/>
      <c r="N8" s="204">
        <f t="shared" si="0"/>
        <v>1.6666666666666666E-2</v>
      </c>
      <c r="O8" s="204" t="s">
        <v>529</v>
      </c>
      <c r="P8" s="196">
        <f t="shared" si="1"/>
        <v>40.049999999999997</v>
      </c>
      <c r="R8" s="196">
        <f>R7+P8</f>
        <v>80.099999999999994</v>
      </c>
      <c r="S8" s="198">
        <f>S7-P8</f>
        <v>2322.8999999999996</v>
      </c>
    </row>
    <row r="9" spans="2:19" ht="7.2" customHeight="1"/>
    <row r="10" spans="2:19">
      <c r="B10" s="430" t="s">
        <v>50</v>
      </c>
      <c r="E10" s="433">
        <v>44875</v>
      </c>
      <c r="G10" s="425">
        <f>5000-300</f>
        <v>4700</v>
      </c>
      <c r="H10" s="425">
        <f>G10*10%</f>
        <v>470</v>
      </c>
      <c r="I10" s="425">
        <f>G10-H10</f>
        <v>4230</v>
      </c>
      <c r="K10" s="436">
        <v>0.2</v>
      </c>
      <c r="L10" s="425">
        <f>I10*K10</f>
        <v>846</v>
      </c>
      <c r="N10" s="204"/>
      <c r="O10" s="204" t="s">
        <v>527</v>
      </c>
      <c r="P10" s="196">
        <f>$I$10*N10</f>
        <v>0</v>
      </c>
      <c r="R10" s="196">
        <f>P10</f>
        <v>0</v>
      </c>
      <c r="S10" s="198">
        <f>I10-P10</f>
        <v>4230</v>
      </c>
    </row>
    <row r="11" spans="2:19">
      <c r="B11" s="431"/>
      <c r="E11" s="434"/>
      <c r="G11" s="426"/>
      <c r="H11" s="426"/>
      <c r="I11" s="426"/>
      <c r="K11" s="437"/>
      <c r="L11" s="426"/>
      <c r="N11" s="204"/>
      <c r="O11" s="204" t="s">
        <v>528</v>
      </c>
      <c r="P11" s="196">
        <f>$I$10*N11</f>
        <v>0</v>
      </c>
      <c r="R11" s="196">
        <f>R10+P11</f>
        <v>0</v>
      </c>
      <c r="S11" s="198">
        <f>S10-P11</f>
        <v>4230</v>
      </c>
    </row>
    <row r="12" spans="2:19">
      <c r="B12" s="432"/>
      <c r="E12" s="435"/>
      <c r="G12" s="427"/>
      <c r="H12" s="427"/>
      <c r="I12" s="427"/>
      <c r="K12" s="438"/>
      <c r="L12" s="427"/>
      <c r="N12" s="204">
        <f t="shared" ref="N12" si="2">$K$6/12</f>
        <v>1.6666666666666666E-2</v>
      </c>
      <c r="O12" s="204" t="s">
        <v>529</v>
      </c>
      <c r="P12" s="196">
        <f>$I$10*N12</f>
        <v>70.5</v>
      </c>
      <c r="R12" s="196">
        <f>R11+P12</f>
        <v>70.5</v>
      </c>
      <c r="S12" s="198">
        <f>S11-P12</f>
        <v>4159.5</v>
      </c>
    </row>
    <row r="16" spans="2:19">
      <c r="P16" s="302"/>
    </row>
    <row r="17" spans="5:5">
      <c r="E17" s="56"/>
    </row>
  </sheetData>
  <mergeCells count="15">
    <mergeCell ref="L6:L8"/>
    <mergeCell ref="O3:P3"/>
    <mergeCell ref="B10:B12"/>
    <mergeCell ref="E10:E12"/>
    <mergeCell ref="G10:G12"/>
    <mergeCell ref="H10:H12"/>
    <mergeCell ref="I10:I12"/>
    <mergeCell ref="K10:K12"/>
    <mergeCell ref="L10:L12"/>
    <mergeCell ref="E6:E8"/>
    <mergeCell ref="B6:B8"/>
    <mergeCell ref="G6:G8"/>
    <mergeCell ref="H6:H8"/>
    <mergeCell ref="I6:I8"/>
    <mergeCell ref="K6:K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A423-976B-4156-ACE0-B7EB86B086F1}">
  <dimension ref="B2:Q67"/>
  <sheetViews>
    <sheetView showGridLines="0" showRowColHeaders="0" workbookViewId="0">
      <pane ySplit="6" topLeftCell="A7" activePane="bottomLeft" state="frozen"/>
      <selection pane="bottomLeft"/>
    </sheetView>
  </sheetViews>
  <sheetFormatPr defaultColWidth="8.77734375" defaultRowHeight="16.8"/>
  <cols>
    <col min="1" max="1" width="4.44140625" style="56" customWidth="1"/>
    <col min="2" max="2" width="18.5546875" style="248" customWidth="1"/>
    <col min="3" max="3" width="15.77734375" style="56" bestFit="1" customWidth="1"/>
    <col min="4" max="4" width="0.77734375" style="56" customWidth="1"/>
    <col min="5" max="5" width="8" style="56" customWidth="1"/>
    <col min="6" max="6" width="14.109375" style="56" bestFit="1" customWidth="1"/>
    <col min="7" max="7" width="17.33203125" style="56" bestFit="1" customWidth="1"/>
    <col min="8" max="8" width="1.109375" style="56" customWidth="1"/>
    <col min="9" max="9" width="7.77734375" style="56" customWidth="1"/>
    <col min="10" max="10" width="14.109375" style="56" bestFit="1" customWidth="1"/>
    <col min="11" max="11" width="15.6640625" style="56" bestFit="1" customWidth="1"/>
    <col min="12" max="12" width="0.88671875" style="56" customWidth="1"/>
    <col min="13" max="13" width="7.77734375" style="56" bestFit="1" customWidth="1"/>
    <col min="14" max="14" width="14.109375" style="56" bestFit="1" customWidth="1"/>
    <col min="15" max="15" width="15.6640625" style="56" bestFit="1" customWidth="1"/>
    <col min="16" max="16384" width="8.77734375" style="56"/>
  </cols>
  <sheetData>
    <row r="2" spans="2:17">
      <c r="C2" s="253" t="s">
        <v>530</v>
      </c>
      <c r="D2" s="254"/>
      <c r="E2" s="254"/>
      <c r="F2" s="254"/>
      <c r="G2" s="254"/>
      <c r="H2" s="254"/>
      <c r="I2" s="254"/>
    </row>
    <row r="3" spans="2:17" s="192" customFormat="1" ht="17.399999999999999" customHeight="1">
      <c r="B3" s="251"/>
      <c r="C3" s="439" t="s">
        <v>423</v>
      </c>
      <c r="D3" s="244"/>
      <c r="E3" s="443" t="s">
        <v>427</v>
      </c>
      <c r="F3" s="443"/>
      <c r="G3" s="443"/>
      <c r="H3" s="251"/>
      <c r="I3" s="441" t="s">
        <v>428</v>
      </c>
      <c r="J3" s="441"/>
      <c r="K3" s="441"/>
      <c r="L3" s="251"/>
      <c r="M3" s="442" t="s">
        <v>429</v>
      </c>
      <c r="N3" s="442"/>
      <c r="O3" s="442"/>
      <c r="Q3" s="192" t="s">
        <v>684</v>
      </c>
    </row>
    <row r="4" spans="2:17" s="192" customFormat="1" ht="17.399999999999999" customHeight="1">
      <c r="B4" s="251"/>
      <c r="C4" s="439"/>
      <c r="D4" s="244"/>
      <c r="E4" s="440" t="s">
        <v>424</v>
      </c>
      <c r="F4" s="440" t="s">
        <v>426</v>
      </c>
      <c r="G4" s="440"/>
      <c r="H4" s="244"/>
      <c r="I4" s="440" t="s">
        <v>424</v>
      </c>
      <c r="J4" s="440" t="s">
        <v>426</v>
      </c>
      <c r="K4" s="440"/>
      <c r="L4" s="244"/>
      <c r="M4" s="440" t="s">
        <v>424</v>
      </c>
      <c r="N4" s="440" t="s">
        <v>426</v>
      </c>
      <c r="O4" s="440"/>
    </row>
    <row r="5" spans="2:17" s="192" customFormat="1" ht="17.399999999999999">
      <c r="B5" s="251"/>
      <c r="C5" s="439"/>
      <c r="D5" s="244"/>
      <c r="E5" s="440"/>
      <c r="F5" s="252" t="s">
        <v>425</v>
      </c>
      <c r="G5" s="252" t="s">
        <v>200</v>
      </c>
      <c r="H5" s="244"/>
      <c r="I5" s="440"/>
      <c r="J5" s="252" t="s">
        <v>425</v>
      </c>
      <c r="K5" s="252" t="s">
        <v>200</v>
      </c>
      <c r="L5" s="244"/>
      <c r="M5" s="440"/>
      <c r="N5" s="252" t="s">
        <v>425</v>
      </c>
      <c r="O5" s="252" t="s">
        <v>200</v>
      </c>
    </row>
    <row r="6" spans="2:17" ht="4.8" customHeight="1"/>
    <row r="7" spans="2:17" ht="4.8" customHeight="1"/>
    <row r="8" spans="2:17">
      <c r="B8" s="444" t="s">
        <v>531</v>
      </c>
      <c r="C8" s="255">
        <v>44854</v>
      </c>
      <c r="E8" s="31">
        <v>5</v>
      </c>
      <c r="F8" s="196">
        <v>1000</v>
      </c>
      <c r="G8" s="196">
        <f>E8*F8</f>
        <v>5000</v>
      </c>
      <c r="I8" s="255"/>
      <c r="J8" s="196"/>
      <c r="K8" s="196"/>
      <c r="M8" s="31">
        <v>5</v>
      </c>
      <c r="N8" s="196">
        <v>1000</v>
      </c>
      <c r="O8" s="196">
        <f>M8*N8</f>
        <v>5000</v>
      </c>
    </row>
    <row r="9" spans="2:17">
      <c r="B9" s="445"/>
      <c r="C9" s="256">
        <v>44859</v>
      </c>
      <c r="D9" s="257"/>
      <c r="E9" s="258"/>
      <c r="F9" s="259"/>
      <c r="G9" s="259"/>
      <c r="H9" s="257"/>
      <c r="I9" s="258">
        <v>3</v>
      </c>
      <c r="J9" s="259">
        <v>1000</v>
      </c>
      <c r="K9" s="259">
        <f>I9*J9</f>
        <v>3000</v>
      </c>
      <c r="L9" s="257"/>
      <c r="M9" s="260">
        <f>M8-I9</f>
        <v>2</v>
      </c>
      <c r="N9" s="259">
        <v>1000</v>
      </c>
      <c r="O9" s="259">
        <f>M9*N9</f>
        <v>2000</v>
      </c>
    </row>
    <row r="10" spans="2:17">
      <c r="B10" s="445"/>
      <c r="C10" s="255">
        <v>44872</v>
      </c>
      <c r="E10" s="31">
        <v>10</v>
      </c>
      <c r="F10" s="196">
        <v>1200</v>
      </c>
      <c r="G10" s="196">
        <f>E10*F10</f>
        <v>12000</v>
      </c>
      <c r="I10" s="31"/>
      <c r="J10" s="196"/>
      <c r="K10" s="196"/>
      <c r="M10" s="195">
        <v>2</v>
      </c>
      <c r="N10" s="196">
        <v>1000</v>
      </c>
      <c r="O10" s="196">
        <f t="shared" ref="O10:O11" si="0">M10*N10</f>
        <v>2000</v>
      </c>
    </row>
    <row r="11" spans="2:17">
      <c r="B11" s="446" t="s">
        <v>532</v>
      </c>
      <c r="C11" s="255"/>
      <c r="E11" s="31"/>
      <c r="F11" s="196"/>
      <c r="G11" s="196"/>
      <c r="I11" s="31"/>
      <c r="J11" s="196"/>
      <c r="K11" s="196"/>
      <c r="M11" s="195">
        <v>10</v>
      </c>
      <c r="N11" s="196">
        <v>1200</v>
      </c>
      <c r="O11" s="196">
        <f t="shared" si="0"/>
        <v>12000</v>
      </c>
    </row>
    <row r="12" spans="2:17">
      <c r="B12" s="446"/>
      <c r="C12" s="256">
        <v>44880</v>
      </c>
      <c r="D12" s="257"/>
      <c r="E12" s="258"/>
      <c r="F12" s="259"/>
      <c r="G12" s="259"/>
      <c r="H12" s="257"/>
      <c r="I12" s="258">
        <v>2</v>
      </c>
      <c r="J12" s="259">
        <v>1000</v>
      </c>
      <c r="K12" s="259">
        <f>I12*J12</f>
        <v>2000</v>
      </c>
      <c r="L12" s="257"/>
      <c r="M12" s="260"/>
      <c r="N12" s="259"/>
      <c r="O12" s="259"/>
    </row>
    <row r="13" spans="2:17">
      <c r="B13" s="446"/>
      <c r="C13" s="256"/>
      <c r="D13" s="257"/>
      <c r="E13" s="258"/>
      <c r="F13" s="259"/>
      <c r="G13" s="259"/>
      <c r="H13" s="257"/>
      <c r="I13" s="258">
        <v>8</v>
      </c>
      <c r="J13" s="259">
        <v>1200</v>
      </c>
      <c r="K13" s="259">
        <f>I13*J13</f>
        <v>9600</v>
      </c>
      <c r="L13" s="257"/>
      <c r="M13" s="260">
        <f>M11-I13</f>
        <v>2</v>
      </c>
      <c r="N13" s="259">
        <v>1200</v>
      </c>
      <c r="O13" s="259">
        <f t="shared" ref="O13" si="1">M13*N13</f>
        <v>2400</v>
      </c>
    </row>
    <row r="14" spans="2:17">
      <c r="B14" s="446"/>
      <c r="C14" s="255"/>
      <c r="E14" s="31"/>
      <c r="F14" s="196"/>
      <c r="G14" s="196"/>
      <c r="I14" s="31"/>
      <c r="J14" s="196"/>
      <c r="K14" s="196"/>
      <c r="M14" s="195"/>
      <c r="N14" s="196"/>
      <c r="O14" s="196"/>
    </row>
    <row r="15" spans="2:17">
      <c r="B15" s="447"/>
      <c r="C15" s="255"/>
      <c r="E15" s="31"/>
      <c r="F15" s="196"/>
      <c r="G15" s="196"/>
      <c r="I15" s="31"/>
      <c r="J15" s="196"/>
      <c r="K15" s="196"/>
      <c r="M15" s="195"/>
      <c r="N15" s="196"/>
      <c r="O15" s="196"/>
    </row>
    <row r="16" spans="2:17" ht="3.6" customHeight="1"/>
    <row r="17" spans="2:15" ht="17.399999999999999">
      <c r="C17" s="197" t="s">
        <v>200</v>
      </c>
      <c r="E17" s="194"/>
      <c r="F17" s="201"/>
      <c r="G17" s="201"/>
      <c r="I17" s="194"/>
      <c r="J17" s="199"/>
      <c r="K17" s="199"/>
      <c r="M17" s="200">
        <f>M13</f>
        <v>2</v>
      </c>
      <c r="N17" s="199"/>
      <c r="O17" s="199">
        <f>O13</f>
        <v>2400</v>
      </c>
    </row>
    <row r="18" spans="2:15" ht="4.2" customHeight="1"/>
    <row r="19" spans="2:15">
      <c r="B19" s="444" t="s">
        <v>533</v>
      </c>
      <c r="C19" s="255">
        <v>44854</v>
      </c>
      <c r="E19" s="31">
        <v>10</v>
      </c>
      <c r="F19" s="196">
        <v>800</v>
      </c>
      <c r="G19" s="196">
        <f>E19*F19</f>
        <v>8000</v>
      </c>
      <c r="I19" s="31"/>
      <c r="J19" s="196"/>
      <c r="K19" s="196"/>
      <c r="M19" s="31">
        <v>10</v>
      </c>
      <c r="N19" s="196">
        <v>800</v>
      </c>
      <c r="O19" s="196">
        <f>M19*N19</f>
        <v>8000</v>
      </c>
    </row>
    <row r="20" spans="2:15">
      <c r="B20" s="445"/>
      <c r="C20" s="256">
        <v>44872</v>
      </c>
      <c r="D20" s="257"/>
      <c r="E20" s="258">
        <v>15</v>
      </c>
      <c r="F20" s="259">
        <v>800</v>
      </c>
      <c r="G20" s="259">
        <f>E20*F20</f>
        <v>12000</v>
      </c>
      <c r="H20" s="257"/>
      <c r="I20" s="258"/>
      <c r="J20" s="259"/>
      <c r="K20" s="259"/>
      <c r="L20" s="257"/>
      <c r="M20" s="260">
        <v>25</v>
      </c>
      <c r="N20" s="259">
        <v>800</v>
      </c>
      <c r="O20" s="259">
        <f>M20*N20</f>
        <v>20000</v>
      </c>
    </row>
    <row r="21" spans="2:15">
      <c r="B21" s="445"/>
      <c r="C21" s="255">
        <v>44880</v>
      </c>
      <c r="E21" s="31"/>
      <c r="F21" s="196"/>
      <c r="G21" s="196"/>
      <c r="I21" s="31">
        <v>15</v>
      </c>
      <c r="J21" s="196">
        <v>800</v>
      </c>
      <c r="K21" s="196">
        <f>I21*J21</f>
        <v>12000</v>
      </c>
      <c r="M21" s="195">
        <f>M20-I21</f>
        <v>10</v>
      </c>
      <c r="N21" s="196">
        <v>800</v>
      </c>
      <c r="O21" s="196">
        <f>M21*N21</f>
        <v>8000</v>
      </c>
    </row>
    <row r="22" spans="2:15">
      <c r="B22" s="446" t="s">
        <v>534</v>
      </c>
      <c r="C22" s="256">
        <v>44910</v>
      </c>
      <c r="D22" s="257"/>
      <c r="E22" s="258"/>
      <c r="F22" s="259"/>
      <c r="G22" s="259"/>
      <c r="H22" s="257"/>
      <c r="I22" s="258">
        <v>5</v>
      </c>
      <c r="J22" s="259">
        <v>800</v>
      </c>
      <c r="K22" s="259">
        <f>J22*I22</f>
        <v>4000</v>
      </c>
      <c r="L22" s="257"/>
      <c r="M22" s="260">
        <f>M21-I22</f>
        <v>5</v>
      </c>
      <c r="N22" s="259">
        <v>800</v>
      </c>
      <c r="O22" s="259">
        <f>M22*N22</f>
        <v>4000</v>
      </c>
    </row>
    <row r="23" spans="2:15">
      <c r="B23" s="446"/>
      <c r="C23" s="255"/>
      <c r="E23" s="31"/>
      <c r="F23" s="196"/>
      <c r="G23" s="196"/>
      <c r="I23" s="31"/>
      <c r="J23" s="196"/>
      <c r="K23" s="196"/>
      <c r="M23" s="195"/>
      <c r="N23" s="196"/>
      <c r="O23" s="196"/>
    </row>
    <row r="24" spans="2:15">
      <c r="B24" s="447"/>
      <c r="C24" s="255"/>
      <c r="E24" s="31"/>
      <c r="F24" s="196"/>
      <c r="G24" s="196"/>
      <c r="I24" s="31"/>
      <c r="J24" s="196"/>
      <c r="K24" s="196"/>
      <c r="M24" s="195"/>
      <c r="N24" s="196"/>
      <c r="O24" s="196"/>
    </row>
    <row r="25" spans="2:15" ht="4.2" customHeight="1"/>
    <row r="26" spans="2:15" ht="17.399999999999999">
      <c r="C26" s="197" t="s">
        <v>200</v>
      </c>
      <c r="E26" s="194"/>
      <c r="F26" s="201"/>
      <c r="G26" s="201"/>
      <c r="I26" s="194"/>
      <c r="J26" s="199"/>
      <c r="K26" s="199"/>
      <c r="M26" s="200">
        <f>M22</f>
        <v>5</v>
      </c>
      <c r="N26" s="199"/>
      <c r="O26" s="199">
        <f>O22</f>
        <v>4000</v>
      </c>
    </row>
    <row r="27" spans="2:15" ht="4.2" customHeight="1"/>
    <row r="28" spans="2:15">
      <c r="B28" s="444" t="s">
        <v>535</v>
      </c>
      <c r="C28" s="255">
        <v>44854</v>
      </c>
      <c r="E28" s="31">
        <v>10</v>
      </c>
      <c r="F28" s="196">
        <v>300</v>
      </c>
      <c r="G28" s="196">
        <f>E28*F28</f>
        <v>3000</v>
      </c>
      <c r="I28" s="31"/>
      <c r="J28" s="196"/>
      <c r="K28" s="196"/>
      <c r="M28" s="31">
        <v>10</v>
      </c>
      <c r="N28" s="196">
        <v>300</v>
      </c>
      <c r="O28" s="196">
        <f>M28*N28</f>
        <v>3000</v>
      </c>
    </row>
    <row r="29" spans="2:15">
      <c r="B29" s="445"/>
      <c r="C29" s="256">
        <v>44859</v>
      </c>
      <c r="D29" s="257"/>
      <c r="E29" s="258"/>
      <c r="F29" s="259"/>
      <c r="G29" s="259"/>
      <c r="H29" s="257"/>
      <c r="I29" s="258">
        <v>10</v>
      </c>
      <c r="J29" s="259">
        <v>300</v>
      </c>
      <c r="K29" s="259">
        <f>I29*J29</f>
        <v>3000</v>
      </c>
      <c r="L29" s="257"/>
      <c r="M29" s="260">
        <f>M28-I29</f>
        <v>0</v>
      </c>
      <c r="N29" s="259">
        <v>300</v>
      </c>
      <c r="O29" s="259">
        <f>M29*N29</f>
        <v>0</v>
      </c>
    </row>
    <row r="30" spans="2:15">
      <c r="B30" s="445"/>
      <c r="C30" s="255">
        <v>44872</v>
      </c>
      <c r="E30" s="31"/>
      <c r="F30" s="196"/>
      <c r="G30" s="196"/>
      <c r="I30" s="31">
        <v>20</v>
      </c>
      <c r="J30" s="196">
        <v>300</v>
      </c>
      <c r="K30" s="196">
        <f>I30*J30</f>
        <v>6000</v>
      </c>
      <c r="M30" s="31">
        <v>20</v>
      </c>
      <c r="N30" s="196">
        <v>300</v>
      </c>
      <c r="O30" s="196">
        <f>M30*N30</f>
        <v>6000</v>
      </c>
    </row>
    <row r="31" spans="2:15">
      <c r="B31" s="448" t="s">
        <v>537</v>
      </c>
      <c r="C31" s="256">
        <v>44880</v>
      </c>
      <c r="D31" s="257"/>
      <c r="E31" s="258"/>
      <c r="F31" s="259"/>
      <c r="G31" s="259"/>
      <c r="H31" s="257"/>
      <c r="I31" s="258">
        <v>20</v>
      </c>
      <c r="J31" s="259">
        <v>300</v>
      </c>
      <c r="K31" s="259">
        <f>I31*J31</f>
        <v>6000</v>
      </c>
      <c r="L31" s="257"/>
      <c r="M31" s="260">
        <f>M30-I31</f>
        <v>0</v>
      </c>
      <c r="N31" s="259">
        <v>300</v>
      </c>
      <c r="O31" s="259">
        <f>M31*N31</f>
        <v>0</v>
      </c>
    </row>
    <row r="32" spans="2:15">
      <c r="B32" s="448"/>
      <c r="C32" s="255"/>
      <c r="E32" s="31"/>
      <c r="F32" s="196"/>
      <c r="G32" s="196"/>
      <c r="I32" s="31"/>
      <c r="J32" s="196"/>
      <c r="K32" s="196"/>
      <c r="M32" s="195"/>
      <c r="N32" s="196"/>
      <c r="O32" s="196"/>
    </row>
    <row r="33" spans="2:15">
      <c r="B33" s="449"/>
      <c r="C33" s="255"/>
      <c r="E33" s="31"/>
      <c r="F33" s="196"/>
      <c r="G33" s="196"/>
      <c r="I33" s="31"/>
      <c r="J33" s="196"/>
      <c r="K33" s="196"/>
      <c r="M33" s="195"/>
      <c r="N33" s="196"/>
      <c r="O33" s="196"/>
    </row>
    <row r="34" spans="2:15" ht="4.2" customHeight="1"/>
    <row r="35" spans="2:15" ht="17.399999999999999">
      <c r="C35" s="197" t="s">
        <v>200</v>
      </c>
      <c r="E35" s="194"/>
      <c r="F35" s="201"/>
      <c r="G35" s="201"/>
      <c r="I35" s="194"/>
      <c r="J35" s="199"/>
      <c r="K35" s="199"/>
      <c r="M35" s="200">
        <f>M31</f>
        <v>0</v>
      </c>
      <c r="N35" s="199"/>
      <c r="O35" s="199">
        <f>O31</f>
        <v>0</v>
      </c>
    </row>
    <row r="36" spans="2:15" ht="4.2" customHeight="1"/>
    <row r="37" spans="2:15">
      <c r="B37" s="444" t="s">
        <v>536</v>
      </c>
      <c r="C37" s="255">
        <v>44854</v>
      </c>
      <c r="E37" s="31">
        <v>10</v>
      </c>
      <c r="F37" s="196">
        <v>3000</v>
      </c>
      <c r="G37" s="196">
        <f>E37*F37</f>
        <v>30000</v>
      </c>
      <c r="I37" s="31"/>
      <c r="J37" s="196"/>
      <c r="K37" s="196"/>
      <c r="M37" s="31">
        <v>10</v>
      </c>
      <c r="N37" s="196">
        <v>3000</v>
      </c>
      <c r="O37" s="196">
        <f t="shared" ref="O37:O42" si="2">M37*N37</f>
        <v>30000</v>
      </c>
    </row>
    <row r="38" spans="2:15">
      <c r="B38" s="445"/>
      <c r="C38" s="256">
        <v>44859</v>
      </c>
      <c r="D38" s="257"/>
      <c r="E38" s="258"/>
      <c r="F38" s="259"/>
      <c r="G38" s="259"/>
      <c r="H38" s="257"/>
      <c r="I38" s="258">
        <v>6</v>
      </c>
      <c r="J38" s="259">
        <v>3000</v>
      </c>
      <c r="K38" s="259">
        <f>I38*J38</f>
        <v>18000</v>
      </c>
      <c r="L38" s="257"/>
      <c r="M38" s="260">
        <f>M37-I38</f>
        <v>4</v>
      </c>
      <c r="N38" s="259">
        <v>3000</v>
      </c>
      <c r="O38" s="259">
        <f t="shared" si="2"/>
        <v>12000</v>
      </c>
    </row>
    <row r="39" spans="2:15">
      <c r="B39" s="445"/>
      <c r="C39" s="255">
        <v>44872</v>
      </c>
      <c r="E39" s="31">
        <v>10</v>
      </c>
      <c r="F39" s="196">
        <v>3000</v>
      </c>
      <c r="G39" s="196">
        <f>E39*F39</f>
        <v>30000</v>
      </c>
      <c r="I39" s="31"/>
      <c r="J39" s="196"/>
      <c r="K39" s="196"/>
      <c r="M39" s="195">
        <v>14</v>
      </c>
      <c r="N39" s="196">
        <v>3000</v>
      </c>
      <c r="O39" s="196">
        <f t="shared" si="2"/>
        <v>42000</v>
      </c>
    </row>
    <row r="40" spans="2:15">
      <c r="B40" s="448" t="s">
        <v>538</v>
      </c>
      <c r="C40" s="256">
        <v>44880</v>
      </c>
      <c r="D40" s="257"/>
      <c r="E40" s="258"/>
      <c r="F40" s="259"/>
      <c r="G40" s="259"/>
      <c r="H40" s="257"/>
      <c r="I40" s="258">
        <v>10</v>
      </c>
      <c r="J40" s="259">
        <v>3000</v>
      </c>
      <c r="K40" s="259">
        <f>J40*I40</f>
        <v>30000</v>
      </c>
      <c r="L40" s="257"/>
      <c r="M40" s="260">
        <f>M39-I40</f>
        <v>4</v>
      </c>
      <c r="N40" s="259">
        <v>3000</v>
      </c>
      <c r="O40" s="259">
        <f t="shared" si="2"/>
        <v>12000</v>
      </c>
    </row>
    <row r="41" spans="2:15">
      <c r="B41" s="448"/>
      <c r="C41" s="255">
        <v>44900</v>
      </c>
      <c r="E41" s="31">
        <v>7</v>
      </c>
      <c r="F41" s="196">
        <v>3000</v>
      </c>
      <c r="G41" s="196">
        <f>E41*F41</f>
        <v>21000</v>
      </c>
      <c r="I41" s="31"/>
      <c r="J41" s="196"/>
      <c r="K41" s="196"/>
      <c r="M41" s="195">
        <f>M40+E41</f>
        <v>11</v>
      </c>
      <c r="N41" s="196">
        <v>3000</v>
      </c>
      <c r="O41" s="196">
        <f t="shared" si="2"/>
        <v>33000</v>
      </c>
    </row>
    <row r="42" spans="2:15">
      <c r="B42" s="449"/>
      <c r="C42" s="256">
        <v>44910</v>
      </c>
      <c r="D42" s="257"/>
      <c r="E42" s="258"/>
      <c r="F42" s="259"/>
      <c r="G42" s="259"/>
      <c r="H42" s="257"/>
      <c r="I42" s="258">
        <v>5</v>
      </c>
      <c r="J42" s="259">
        <v>3000</v>
      </c>
      <c r="K42" s="259">
        <f>J42*I42</f>
        <v>15000</v>
      </c>
      <c r="L42" s="257"/>
      <c r="M42" s="260">
        <f>M41-I42</f>
        <v>6</v>
      </c>
      <c r="N42" s="259">
        <v>3000</v>
      </c>
      <c r="O42" s="259">
        <f t="shared" si="2"/>
        <v>18000</v>
      </c>
    </row>
    <row r="43" spans="2:15" ht="4.2" customHeight="1"/>
    <row r="44" spans="2:15" ht="17.399999999999999">
      <c r="C44" s="197" t="s">
        <v>200</v>
      </c>
      <c r="E44" s="194"/>
      <c r="F44" s="201"/>
      <c r="G44" s="201"/>
      <c r="I44" s="194"/>
      <c r="J44" s="199"/>
      <c r="K44" s="199"/>
      <c r="M44" s="200">
        <f>M42</f>
        <v>6</v>
      </c>
      <c r="N44" s="199"/>
      <c r="O44" s="199">
        <f>O42</f>
        <v>18000</v>
      </c>
    </row>
    <row r="45" spans="2:15" ht="4.8" customHeight="1"/>
    <row r="46" spans="2:15">
      <c r="B46" s="444" t="s">
        <v>539</v>
      </c>
      <c r="C46" s="255">
        <v>44854</v>
      </c>
      <c r="E46" s="31">
        <v>8</v>
      </c>
      <c r="F46" s="196">
        <v>4000</v>
      </c>
      <c r="G46" s="196">
        <f>E46*F46</f>
        <v>32000</v>
      </c>
      <c r="I46" s="31"/>
      <c r="J46" s="196"/>
      <c r="K46" s="196"/>
      <c r="M46" s="31">
        <v>8</v>
      </c>
      <c r="N46" s="196">
        <v>4000</v>
      </c>
      <c r="O46" s="196">
        <f t="shared" ref="O46:O51" si="3">M46*N46</f>
        <v>32000</v>
      </c>
    </row>
    <row r="47" spans="2:15">
      <c r="B47" s="445"/>
      <c r="C47" s="256">
        <v>44859</v>
      </c>
      <c r="D47" s="257"/>
      <c r="E47" s="258"/>
      <c r="F47" s="259"/>
      <c r="G47" s="259"/>
      <c r="H47" s="257"/>
      <c r="I47" s="258">
        <v>4</v>
      </c>
      <c r="J47" s="259">
        <v>4000</v>
      </c>
      <c r="K47" s="259">
        <f>I47*J47</f>
        <v>16000</v>
      </c>
      <c r="L47" s="257"/>
      <c r="M47" s="260">
        <f>M46-I47</f>
        <v>4</v>
      </c>
      <c r="N47" s="259">
        <v>4000</v>
      </c>
      <c r="O47" s="259">
        <f t="shared" si="3"/>
        <v>16000</v>
      </c>
    </row>
    <row r="48" spans="2:15">
      <c r="B48" s="445"/>
      <c r="C48" s="255">
        <v>44872</v>
      </c>
      <c r="E48" s="31">
        <v>5</v>
      </c>
      <c r="F48" s="196">
        <v>3000</v>
      </c>
      <c r="G48" s="196">
        <f>E48*F48</f>
        <v>15000</v>
      </c>
      <c r="I48" s="31"/>
      <c r="J48" s="196"/>
      <c r="K48" s="196"/>
      <c r="M48" s="195">
        <v>4</v>
      </c>
      <c r="N48" s="196">
        <v>4000</v>
      </c>
      <c r="O48" s="196">
        <f t="shared" si="3"/>
        <v>16000</v>
      </c>
    </row>
    <row r="49" spans="2:15">
      <c r="B49" s="448" t="s">
        <v>541</v>
      </c>
      <c r="C49" s="255"/>
      <c r="E49" s="31"/>
      <c r="F49" s="196"/>
      <c r="G49" s="196"/>
      <c r="I49" s="31"/>
      <c r="J49" s="196"/>
      <c r="K49" s="196"/>
      <c r="M49" s="195">
        <v>5</v>
      </c>
      <c r="N49" s="196">
        <v>3000</v>
      </c>
      <c r="O49" s="196">
        <f t="shared" si="3"/>
        <v>15000</v>
      </c>
    </row>
    <row r="50" spans="2:15">
      <c r="B50" s="448"/>
      <c r="C50" s="256">
        <v>44900</v>
      </c>
      <c r="D50" s="257"/>
      <c r="E50" s="258">
        <v>6</v>
      </c>
      <c r="F50" s="259">
        <v>4000</v>
      </c>
      <c r="G50" s="259">
        <f>F50*E50</f>
        <v>24000</v>
      </c>
      <c r="H50" s="257"/>
      <c r="I50" s="258"/>
      <c r="J50" s="259"/>
      <c r="K50" s="259"/>
      <c r="L50" s="257"/>
      <c r="M50" s="260">
        <f>M48+E50</f>
        <v>10</v>
      </c>
      <c r="N50" s="259">
        <v>4000</v>
      </c>
      <c r="O50" s="259">
        <f t="shared" si="3"/>
        <v>40000</v>
      </c>
    </row>
    <row r="51" spans="2:15">
      <c r="B51" s="448"/>
      <c r="C51" s="256"/>
      <c r="D51" s="257"/>
      <c r="E51" s="258"/>
      <c r="F51" s="259"/>
      <c r="G51" s="259"/>
      <c r="H51" s="257"/>
      <c r="I51" s="258"/>
      <c r="J51" s="259"/>
      <c r="K51" s="259"/>
      <c r="L51" s="257"/>
      <c r="M51" s="260">
        <v>5</v>
      </c>
      <c r="N51" s="259">
        <v>3000</v>
      </c>
      <c r="O51" s="259">
        <f t="shared" si="3"/>
        <v>15000</v>
      </c>
    </row>
    <row r="52" spans="2:15">
      <c r="B52" s="448"/>
      <c r="C52" s="255">
        <v>44910</v>
      </c>
      <c r="E52" s="31"/>
      <c r="F52" s="196"/>
      <c r="G52" s="196"/>
      <c r="I52" s="31">
        <v>5</v>
      </c>
      <c r="J52" s="196">
        <v>4000</v>
      </c>
      <c r="K52" s="196">
        <f>I52*J52</f>
        <v>20000</v>
      </c>
      <c r="M52" s="195">
        <f>M50-I52</f>
        <v>5</v>
      </c>
      <c r="N52" s="196">
        <v>4000</v>
      </c>
      <c r="O52" s="196">
        <f t="shared" ref="O52:O53" si="4">M52*N52</f>
        <v>20000</v>
      </c>
    </row>
    <row r="53" spans="2:15">
      <c r="B53" s="449"/>
      <c r="C53" s="255"/>
      <c r="E53" s="31"/>
      <c r="F53" s="196"/>
      <c r="G53" s="196"/>
      <c r="I53" s="31"/>
      <c r="J53" s="196"/>
      <c r="K53" s="196"/>
      <c r="M53" s="195">
        <v>5</v>
      </c>
      <c r="N53" s="196">
        <v>3000</v>
      </c>
      <c r="O53" s="196">
        <f t="shared" si="4"/>
        <v>15000</v>
      </c>
    </row>
    <row r="54" spans="2:15" ht="4.2" customHeight="1"/>
    <row r="55" spans="2:15" ht="17.399999999999999">
      <c r="C55" s="197" t="s">
        <v>200</v>
      </c>
      <c r="E55" s="194"/>
      <c r="F55" s="201"/>
      <c r="G55" s="201"/>
      <c r="I55" s="194"/>
      <c r="J55" s="199"/>
      <c r="K55" s="199"/>
      <c r="M55" s="200">
        <f>M52+M53</f>
        <v>10</v>
      </c>
      <c r="N55" s="199"/>
      <c r="O55" s="199">
        <f>O52+O53</f>
        <v>35000</v>
      </c>
    </row>
    <row r="56" spans="2:15" ht="4.2" customHeight="1"/>
    <row r="57" spans="2:15">
      <c r="B57" s="444" t="s">
        <v>540</v>
      </c>
      <c r="C57" s="255">
        <v>44854</v>
      </c>
      <c r="E57" s="31">
        <v>10</v>
      </c>
      <c r="F57" s="196">
        <v>200</v>
      </c>
      <c r="G57" s="196">
        <f>E57*F57</f>
        <v>2000</v>
      </c>
      <c r="I57" s="31"/>
      <c r="J57" s="196"/>
      <c r="K57" s="196"/>
      <c r="M57" s="31">
        <v>10</v>
      </c>
      <c r="N57" s="196">
        <v>200</v>
      </c>
      <c r="O57" s="196">
        <f>M57*N57</f>
        <v>2000</v>
      </c>
    </row>
    <row r="58" spans="2:15">
      <c r="B58" s="445"/>
      <c r="C58" s="256">
        <v>44880</v>
      </c>
      <c r="D58" s="257"/>
      <c r="E58" s="258"/>
      <c r="F58" s="259"/>
      <c r="G58" s="259"/>
      <c r="H58" s="257"/>
      <c r="I58" s="258">
        <v>10</v>
      </c>
      <c r="J58" s="259">
        <v>200</v>
      </c>
      <c r="K58" s="259">
        <f>I58*J58</f>
        <v>2000</v>
      </c>
      <c r="L58" s="257"/>
      <c r="M58" s="260">
        <f>M57-I58</f>
        <v>0</v>
      </c>
      <c r="N58" s="259">
        <v>200</v>
      </c>
      <c r="O58" s="259">
        <f>M58*N58</f>
        <v>0</v>
      </c>
    </row>
    <row r="59" spans="2:15">
      <c r="B59" s="445"/>
      <c r="C59" s="255"/>
      <c r="E59" s="31"/>
      <c r="F59" s="196"/>
      <c r="G59" s="196"/>
      <c r="I59" s="31"/>
      <c r="J59" s="196"/>
      <c r="K59" s="196"/>
      <c r="M59" s="195"/>
      <c r="N59" s="196"/>
      <c r="O59" s="196"/>
    </row>
    <row r="60" spans="2:15">
      <c r="B60" s="448" t="s">
        <v>542</v>
      </c>
      <c r="C60" s="255"/>
      <c r="E60" s="31"/>
      <c r="F60" s="196"/>
      <c r="G60" s="196"/>
      <c r="I60" s="31"/>
      <c r="J60" s="196"/>
      <c r="K60" s="196"/>
      <c r="M60" s="195"/>
      <c r="N60" s="196"/>
      <c r="O60" s="196"/>
    </row>
    <row r="61" spans="2:15">
      <c r="B61" s="448"/>
      <c r="C61" s="255"/>
      <c r="E61" s="31"/>
      <c r="F61" s="196"/>
      <c r="G61" s="196"/>
      <c r="I61" s="31"/>
      <c r="J61" s="196"/>
      <c r="K61" s="196"/>
      <c r="M61" s="195"/>
      <c r="N61" s="196"/>
      <c r="O61" s="196"/>
    </row>
    <row r="62" spans="2:15">
      <c r="B62" s="449"/>
      <c r="C62" s="255"/>
      <c r="E62" s="31"/>
      <c r="F62" s="196"/>
      <c r="G62" s="196"/>
      <c r="I62" s="31"/>
      <c r="J62" s="196"/>
      <c r="K62" s="196"/>
      <c r="M62" s="195"/>
      <c r="N62" s="196"/>
      <c r="O62" s="196"/>
    </row>
    <row r="63" spans="2:15" ht="4.2" customHeight="1"/>
    <row r="64" spans="2:15" ht="17.399999999999999">
      <c r="C64" s="197" t="s">
        <v>200</v>
      </c>
      <c r="E64" s="194"/>
      <c r="F64" s="201"/>
      <c r="G64" s="201"/>
      <c r="I64" s="194"/>
      <c r="J64" s="199"/>
      <c r="K64" s="199"/>
      <c r="M64" s="200">
        <f>M58</f>
        <v>0</v>
      </c>
      <c r="N64" s="199"/>
      <c r="O64" s="199">
        <f>O58</f>
        <v>0</v>
      </c>
    </row>
    <row r="65" spans="5:15" ht="10.199999999999999" customHeight="1"/>
    <row r="66" spans="5:15" ht="17.399999999999999">
      <c r="N66" s="261" t="s">
        <v>543</v>
      </c>
      <c r="O66" s="262">
        <f>O64+O55+O44+O35+O26+O17</f>
        <v>59400</v>
      </c>
    </row>
    <row r="67" spans="5:15" ht="17.399999999999999">
      <c r="E67" s="192"/>
    </row>
  </sheetData>
  <sheetProtection algorithmName="SHA-512" hashValue="J1BdxGlAZtgEgZqAlKOf6EolGE+ZIkI5TCoIPBUiGhsl4I0rR1vwkUkdTZWfA8tKixT/Z6mWCEM7XaUa3CGIcg==" saltValue="8Hj0JJJX3W/NNQTDqHCLHA==" spinCount="100000" sheet="1" objects="1" scenarios="1"/>
  <mergeCells count="22">
    <mergeCell ref="B60:B62"/>
    <mergeCell ref="B11:B15"/>
    <mergeCell ref="B49:B53"/>
    <mergeCell ref="B37:B39"/>
    <mergeCell ref="B40:B42"/>
    <mergeCell ref="B46:B48"/>
    <mergeCell ref="B57:B59"/>
    <mergeCell ref="B8:B10"/>
    <mergeCell ref="B19:B21"/>
    <mergeCell ref="B22:B24"/>
    <mergeCell ref="B28:B30"/>
    <mergeCell ref="B31:B33"/>
    <mergeCell ref="M3:O3"/>
    <mergeCell ref="M4:M5"/>
    <mergeCell ref="N4:O4"/>
    <mergeCell ref="F4:G4"/>
    <mergeCell ref="E3:G3"/>
    <mergeCell ref="C3:C5"/>
    <mergeCell ref="E4:E5"/>
    <mergeCell ref="I3:K3"/>
    <mergeCell ref="I4:I5"/>
    <mergeCell ref="J4:K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AA5BF-DC02-4659-8500-AC300789A299}">
  <dimension ref="E5:R19"/>
  <sheetViews>
    <sheetView showGridLines="0" workbookViewId="0"/>
  </sheetViews>
  <sheetFormatPr defaultRowHeight="14.4"/>
  <cols>
    <col min="15" max="15" width="4.6640625" customWidth="1"/>
    <col min="16" max="16" width="5.109375" customWidth="1"/>
  </cols>
  <sheetData>
    <row r="5" spans="5:18" ht="60.6">
      <c r="E5" s="38"/>
      <c r="F5" s="37"/>
    </row>
    <row r="6" spans="5:18">
      <c r="E6" s="38"/>
    </row>
    <row r="7" spans="5:18">
      <c r="E7" s="39"/>
      <c r="F7" s="40"/>
    </row>
    <row r="8" spans="5:18">
      <c r="E8" s="38"/>
    </row>
    <row r="9" spans="5:18">
      <c r="E9" s="38"/>
      <c r="N9" s="356"/>
      <c r="O9" s="376"/>
    </row>
    <row r="10" spans="5:18">
      <c r="E10" s="38"/>
      <c r="O10" s="374"/>
    </row>
    <row r="11" spans="5:18">
      <c r="E11" s="39"/>
      <c r="F11" s="40"/>
      <c r="O11" s="374"/>
    </row>
    <row r="12" spans="5:18">
      <c r="E12" s="38"/>
      <c r="O12" s="374"/>
      <c r="P12" s="39"/>
      <c r="Q12" s="450" t="s">
        <v>806</v>
      </c>
      <c r="R12" s="450"/>
    </row>
    <row r="13" spans="5:18">
      <c r="E13" s="38"/>
      <c r="O13" s="374"/>
      <c r="Q13" s="450"/>
      <c r="R13" s="450"/>
    </row>
    <row r="14" spans="5:18">
      <c r="E14" s="38"/>
      <c r="O14" s="374"/>
    </row>
    <row r="15" spans="5:18">
      <c r="E15" s="39"/>
      <c r="F15" s="40"/>
      <c r="O15" s="374"/>
    </row>
    <row r="16" spans="5:18">
      <c r="E16" s="38"/>
      <c r="N16" s="40"/>
      <c r="O16" s="375"/>
    </row>
    <row r="17" spans="5:6">
      <c r="E17" s="38"/>
    </row>
    <row r="18" spans="5:6">
      <c r="E18" s="38"/>
    </row>
    <row r="19" spans="5:6">
      <c r="E19" s="39"/>
      <c r="F19" s="40"/>
    </row>
  </sheetData>
  <mergeCells count="1">
    <mergeCell ref="Q12:R13"/>
  </mergeCells>
  <hyperlinks>
    <hyperlink ref="Q12:R13" location="CRUZAMENTO!A1" display="CRUZAMENTO" xr:uid="{EC027BED-13F0-48CD-9F17-EB5DDEE818D3}"/>
  </hyperlink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28"/>
  <sheetViews>
    <sheetView showGridLines="0" showRowColHeaders="0" zoomScale="130" zoomScaleNormal="130" workbookViewId="0">
      <pane ySplit="4" topLeftCell="A5" activePane="bottomLeft" state="frozen"/>
      <selection pane="bottomLeft"/>
    </sheetView>
  </sheetViews>
  <sheetFormatPr defaultColWidth="9.109375" defaultRowHeight="13.8"/>
  <cols>
    <col min="1" max="1" width="9.109375" style="1"/>
    <col min="2" max="2" width="14.109375" style="3" customWidth="1"/>
    <col min="3" max="3" width="72.21875" style="1" customWidth="1"/>
    <col min="4" max="4" width="14.77734375" style="269" customWidth="1"/>
    <col min="5" max="16384" width="9.109375" style="1"/>
  </cols>
  <sheetData>
    <row r="1" spans="2:7">
      <c r="B1" s="451" t="s">
        <v>208</v>
      </c>
      <c r="C1" s="451"/>
    </row>
    <row r="2" spans="2:7" s="2" customFormat="1">
      <c r="B2" s="452"/>
      <c r="C2" s="452"/>
      <c r="D2" s="270"/>
    </row>
    <row r="3" spans="2:7" s="4" customFormat="1" ht="27.6" customHeight="1">
      <c r="B3" s="52" t="s">
        <v>0</v>
      </c>
      <c r="C3" s="268" t="s">
        <v>1</v>
      </c>
      <c r="D3" s="271"/>
    </row>
    <row r="4" spans="2:7" s="50" customFormat="1" ht="4.8" customHeight="1">
      <c r="B4" s="51"/>
      <c r="C4" s="51"/>
      <c r="D4" s="272"/>
    </row>
    <row r="5" spans="2:7" s="50" customFormat="1" ht="4.8" customHeight="1">
      <c r="B5" s="51"/>
      <c r="C5" s="51"/>
      <c r="D5" s="272"/>
    </row>
    <row r="6" spans="2:7">
      <c r="B6" s="13">
        <v>1</v>
      </c>
      <c r="C6" s="14" t="s">
        <v>2</v>
      </c>
      <c r="D6" s="273">
        <f>B6</f>
        <v>1</v>
      </c>
    </row>
    <row r="7" spans="2:7" s="4" customFormat="1">
      <c r="B7" s="13" t="s">
        <v>3</v>
      </c>
      <c r="C7" s="14" t="s">
        <v>4</v>
      </c>
      <c r="D7" s="273" t="str">
        <f t="shared" ref="D7:D75" si="0">B7</f>
        <v>1.1</v>
      </c>
    </row>
    <row r="8" spans="2:7" s="4" customFormat="1">
      <c r="B8" s="13" t="s">
        <v>5</v>
      </c>
      <c r="C8" s="14" t="s">
        <v>639</v>
      </c>
      <c r="D8" s="273" t="str">
        <f t="shared" si="0"/>
        <v>1.1.1</v>
      </c>
    </row>
    <row r="9" spans="2:7">
      <c r="B9" s="15" t="s">
        <v>6</v>
      </c>
      <c r="C9" s="16" t="s">
        <v>7</v>
      </c>
      <c r="D9" s="273" t="str">
        <f t="shared" si="0"/>
        <v>1.1.1.01</v>
      </c>
    </row>
    <row r="10" spans="2:7">
      <c r="B10" s="15" t="s">
        <v>8</v>
      </c>
      <c r="C10" s="16" t="s">
        <v>9</v>
      </c>
      <c r="D10" s="273" t="str">
        <f t="shared" si="0"/>
        <v>1.1.1.02</v>
      </c>
    </row>
    <row r="11" spans="2:7" s="4" customFormat="1">
      <c r="B11" s="13" t="s">
        <v>10</v>
      </c>
      <c r="C11" s="14" t="s">
        <v>640</v>
      </c>
      <c r="D11" s="273" t="str">
        <f t="shared" si="0"/>
        <v>1.1.2</v>
      </c>
    </row>
    <row r="12" spans="2:7">
      <c r="B12" s="15" t="s">
        <v>12</v>
      </c>
      <c r="C12" s="16" t="s">
        <v>13</v>
      </c>
      <c r="D12" s="273" t="str">
        <f t="shared" si="0"/>
        <v>1.1.2.01</v>
      </c>
    </row>
    <row r="13" spans="2:7">
      <c r="B13" s="15" t="s">
        <v>14</v>
      </c>
      <c r="C13" s="16" t="s">
        <v>15</v>
      </c>
      <c r="D13" s="273" t="str">
        <f t="shared" si="0"/>
        <v>1.1.2.02</v>
      </c>
    </row>
    <row r="14" spans="2:7" s="4" customFormat="1">
      <c r="B14" s="13" t="s">
        <v>16</v>
      </c>
      <c r="C14" s="14" t="s">
        <v>17</v>
      </c>
      <c r="D14" s="273" t="str">
        <f t="shared" si="0"/>
        <v>1.1.3</v>
      </c>
    </row>
    <row r="15" spans="2:7" ht="14.4">
      <c r="B15" s="15" t="s">
        <v>18</v>
      </c>
      <c r="C15" s="16" t="s">
        <v>19</v>
      </c>
      <c r="D15" s="273" t="str">
        <f t="shared" si="0"/>
        <v>1.1.3.01</v>
      </c>
      <c r="G15"/>
    </row>
    <row r="16" spans="2:7">
      <c r="B16" s="15" t="s">
        <v>20</v>
      </c>
      <c r="C16" s="16" t="s">
        <v>21</v>
      </c>
      <c r="D16" s="273" t="str">
        <f t="shared" si="0"/>
        <v>1.1.3.02</v>
      </c>
    </row>
    <row r="17" spans="2:4">
      <c r="B17" s="15" t="s">
        <v>22</v>
      </c>
      <c r="C17" s="16" t="s">
        <v>23</v>
      </c>
      <c r="D17" s="273" t="str">
        <f t="shared" si="0"/>
        <v>1.1.3.03</v>
      </c>
    </row>
    <row r="18" spans="2:4" s="4" customFormat="1">
      <c r="B18" s="13" t="s">
        <v>24</v>
      </c>
      <c r="C18" s="14" t="s">
        <v>25</v>
      </c>
      <c r="D18" s="273" t="str">
        <f t="shared" si="0"/>
        <v>1.1.4</v>
      </c>
    </row>
    <row r="19" spans="2:4">
      <c r="B19" s="15" t="s">
        <v>26</v>
      </c>
      <c r="C19" s="16" t="s">
        <v>27</v>
      </c>
      <c r="D19" s="273" t="str">
        <f t="shared" si="0"/>
        <v>1.1.4.01</v>
      </c>
    </row>
    <row r="20" spans="2:4">
      <c r="B20" s="15" t="s">
        <v>28</v>
      </c>
      <c r="C20" s="16" t="s">
        <v>294</v>
      </c>
      <c r="D20" s="273" t="str">
        <f t="shared" si="0"/>
        <v>1.1.4.02</v>
      </c>
    </row>
    <row r="21" spans="2:4">
      <c r="B21" s="15" t="s">
        <v>29</v>
      </c>
      <c r="C21" s="16" t="s">
        <v>30</v>
      </c>
      <c r="D21" s="273" t="str">
        <f t="shared" si="0"/>
        <v>1.1.4.03</v>
      </c>
    </row>
    <row r="22" spans="2:4">
      <c r="B22" s="16" t="s">
        <v>385</v>
      </c>
      <c r="C22" s="16" t="s">
        <v>386</v>
      </c>
      <c r="D22" s="273" t="str">
        <f t="shared" si="0"/>
        <v>1.1.4.04</v>
      </c>
    </row>
    <row r="23" spans="2:4">
      <c r="B23" s="16" t="s">
        <v>641</v>
      </c>
      <c r="C23" s="16" t="s">
        <v>645</v>
      </c>
      <c r="D23" s="273" t="str">
        <f>B23</f>
        <v>1.1.4.05</v>
      </c>
    </row>
    <row r="24" spans="2:4">
      <c r="B24" s="16" t="s">
        <v>642</v>
      </c>
      <c r="C24" s="16" t="s">
        <v>363</v>
      </c>
      <c r="D24" s="273" t="str">
        <f t="shared" ref="D24:D27" si="1">B24</f>
        <v>1.1.4.06</v>
      </c>
    </row>
    <row r="25" spans="2:4">
      <c r="B25" s="16" t="s">
        <v>643</v>
      </c>
      <c r="C25" s="16" t="s">
        <v>646</v>
      </c>
      <c r="D25" s="273" t="str">
        <f t="shared" si="1"/>
        <v>1.1.4.07</v>
      </c>
    </row>
    <row r="26" spans="2:4">
      <c r="B26" s="16" t="s">
        <v>644</v>
      </c>
      <c r="C26" s="16" t="s">
        <v>647</v>
      </c>
      <c r="D26" s="273" t="str">
        <f t="shared" si="1"/>
        <v>1.1.4.08</v>
      </c>
    </row>
    <row r="27" spans="2:4">
      <c r="B27" s="16" t="s">
        <v>648</v>
      </c>
      <c r="C27" s="16" t="s">
        <v>307</v>
      </c>
      <c r="D27" s="273" t="str">
        <f t="shared" si="1"/>
        <v>1.1.4.09</v>
      </c>
    </row>
    <row r="28" spans="2:4" s="4" customFormat="1" collapsed="1">
      <c r="B28" s="13" t="s">
        <v>31</v>
      </c>
      <c r="C28" s="14" t="s">
        <v>32</v>
      </c>
      <c r="D28" s="273" t="str">
        <f t="shared" si="0"/>
        <v>1.3</v>
      </c>
    </row>
    <row r="29" spans="2:4" s="4" customFormat="1">
      <c r="B29" s="13" t="s">
        <v>33</v>
      </c>
      <c r="C29" s="14" t="s">
        <v>34</v>
      </c>
      <c r="D29" s="273" t="str">
        <f t="shared" si="0"/>
        <v>1.3.1</v>
      </c>
    </row>
    <row r="30" spans="2:4">
      <c r="B30" s="15" t="s">
        <v>35</v>
      </c>
      <c r="C30" s="16" t="s">
        <v>11</v>
      </c>
      <c r="D30" s="273" t="str">
        <f t="shared" si="0"/>
        <v>1.3.1.01</v>
      </c>
    </row>
    <row r="31" spans="2:4">
      <c r="B31" s="15" t="s">
        <v>36</v>
      </c>
      <c r="C31" s="16" t="s">
        <v>15</v>
      </c>
      <c r="D31" s="273" t="str">
        <f t="shared" si="0"/>
        <v>1.3.1.02</v>
      </c>
    </row>
    <row r="32" spans="2:4" s="4" customFormat="1">
      <c r="B32" s="13" t="s">
        <v>37</v>
      </c>
      <c r="C32" s="14" t="s">
        <v>38</v>
      </c>
      <c r="D32" s="273" t="str">
        <f t="shared" si="0"/>
        <v>1.3.2</v>
      </c>
    </row>
    <row r="33" spans="2:4">
      <c r="B33" s="15" t="s">
        <v>39</v>
      </c>
      <c r="C33" s="16" t="s">
        <v>40</v>
      </c>
      <c r="D33" s="273" t="str">
        <f t="shared" si="0"/>
        <v>1.3.2.01</v>
      </c>
    </row>
    <row r="34" spans="2:4">
      <c r="B34" s="15" t="s">
        <v>41</v>
      </c>
      <c r="C34" s="16" t="s">
        <v>42</v>
      </c>
      <c r="D34" s="273" t="str">
        <f t="shared" si="0"/>
        <v>1.3.2.02</v>
      </c>
    </row>
    <row r="35" spans="2:4" s="4" customFormat="1">
      <c r="B35" s="13" t="s">
        <v>43</v>
      </c>
      <c r="C35" s="14" t="s">
        <v>44</v>
      </c>
      <c r="D35" s="273" t="str">
        <f t="shared" si="0"/>
        <v>1.3.3</v>
      </c>
    </row>
    <row r="36" spans="2:4">
      <c r="B36" s="15" t="s">
        <v>45</v>
      </c>
      <c r="C36" s="16" t="s">
        <v>46</v>
      </c>
      <c r="D36" s="273" t="str">
        <f t="shared" si="0"/>
        <v>1.3.3.01</v>
      </c>
    </row>
    <row r="37" spans="2:4">
      <c r="B37" s="15" t="s">
        <v>47</v>
      </c>
      <c r="C37" s="16" t="s">
        <v>48</v>
      </c>
      <c r="D37" s="273" t="str">
        <f t="shared" si="0"/>
        <v>1.3.3.02</v>
      </c>
    </row>
    <row r="38" spans="2:4">
      <c r="B38" s="15" t="s">
        <v>49</v>
      </c>
      <c r="C38" s="16" t="s">
        <v>50</v>
      </c>
      <c r="D38" s="273" t="str">
        <f t="shared" si="0"/>
        <v>1.3.3.03</v>
      </c>
    </row>
    <row r="39" spans="2:4">
      <c r="B39" s="15" t="s">
        <v>51</v>
      </c>
      <c r="C39" s="16" t="s">
        <v>52</v>
      </c>
      <c r="D39" s="273" t="str">
        <f t="shared" si="0"/>
        <v>1.3.3.04</v>
      </c>
    </row>
    <row r="40" spans="2:4">
      <c r="B40" s="15" t="s">
        <v>53</v>
      </c>
      <c r="C40" s="16" t="s">
        <v>54</v>
      </c>
      <c r="D40" s="273" t="str">
        <f t="shared" si="0"/>
        <v>1.3.3.05</v>
      </c>
    </row>
    <row r="41" spans="2:4">
      <c r="B41" s="15" t="s">
        <v>55</v>
      </c>
      <c r="C41" s="16" t="s">
        <v>56</v>
      </c>
      <c r="D41" s="273" t="str">
        <f t="shared" si="0"/>
        <v>1.3.3.06</v>
      </c>
    </row>
    <row r="42" spans="2:4" s="4" customFormat="1">
      <c r="B42" s="13" t="s">
        <v>57</v>
      </c>
      <c r="C42" s="14" t="s">
        <v>58</v>
      </c>
      <c r="D42" s="273" t="str">
        <f t="shared" si="0"/>
        <v>1.3.4</v>
      </c>
    </row>
    <row r="43" spans="2:4" ht="14.4">
      <c r="B43" s="15" t="s">
        <v>59</v>
      </c>
      <c r="C43" s="17" t="s">
        <v>60</v>
      </c>
      <c r="D43" s="273" t="str">
        <f t="shared" si="0"/>
        <v>1.3.4.01</v>
      </c>
    </row>
    <row r="44" spans="2:4">
      <c r="B44" s="15" t="s">
        <v>61</v>
      </c>
      <c r="C44" s="16" t="s">
        <v>62</v>
      </c>
      <c r="D44" s="273" t="str">
        <f t="shared" si="0"/>
        <v>1.3.4.02</v>
      </c>
    </row>
    <row r="45" spans="2:4" collapsed="1">
      <c r="B45" s="13">
        <v>2</v>
      </c>
      <c r="C45" s="14" t="s">
        <v>63</v>
      </c>
      <c r="D45" s="273">
        <f t="shared" si="0"/>
        <v>2</v>
      </c>
    </row>
    <row r="46" spans="2:4" s="4" customFormat="1">
      <c r="B46" s="13" t="s">
        <v>64</v>
      </c>
      <c r="C46" s="14" t="s">
        <v>65</v>
      </c>
      <c r="D46" s="273" t="str">
        <f t="shared" si="0"/>
        <v>2.1</v>
      </c>
    </row>
    <row r="47" spans="2:4" s="4" customFormat="1">
      <c r="B47" s="13" t="s">
        <v>66</v>
      </c>
      <c r="C47" s="14" t="s">
        <v>67</v>
      </c>
      <c r="D47" s="273" t="str">
        <f t="shared" si="0"/>
        <v>2.1.1</v>
      </c>
    </row>
    <row r="48" spans="2:4">
      <c r="B48" s="15" t="s">
        <v>68</v>
      </c>
      <c r="C48" s="16" t="s">
        <v>69</v>
      </c>
      <c r="D48" s="273" t="str">
        <f t="shared" si="0"/>
        <v>2.1.1.01</v>
      </c>
    </row>
    <row r="49" spans="2:4" s="4" customFormat="1">
      <c r="B49" s="13" t="s">
        <v>70</v>
      </c>
      <c r="C49" s="14" t="s">
        <v>71</v>
      </c>
      <c r="D49" s="273" t="str">
        <f t="shared" si="0"/>
        <v>2.1.2</v>
      </c>
    </row>
    <row r="50" spans="2:4">
      <c r="B50" s="15" t="s">
        <v>72</v>
      </c>
      <c r="C50" s="16" t="s">
        <v>73</v>
      </c>
      <c r="D50" s="273" t="str">
        <f t="shared" si="0"/>
        <v>2.1.2.01</v>
      </c>
    </row>
    <row r="51" spans="2:4">
      <c r="B51" s="15" t="s">
        <v>74</v>
      </c>
      <c r="C51" s="16" t="s">
        <v>75</v>
      </c>
      <c r="D51" s="273" t="str">
        <f t="shared" si="0"/>
        <v>2.1.2.02</v>
      </c>
    </row>
    <row r="52" spans="2:4" s="4" customFormat="1">
      <c r="B52" s="13" t="s">
        <v>76</v>
      </c>
      <c r="C52" s="14" t="s">
        <v>77</v>
      </c>
      <c r="D52" s="273" t="str">
        <f t="shared" si="0"/>
        <v>2.1.3</v>
      </c>
    </row>
    <row r="53" spans="2:4">
      <c r="B53" s="15" t="s">
        <v>78</v>
      </c>
      <c r="C53" s="16" t="s">
        <v>79</v>
      </c>
      <c r="D53" s="273" t="str">
        <f t="shared" si="0"/>
        <v>2.1.3.01</v>
      </c>
    </row>
    <row r="54" spans="2:4">
      <c r="B54" s="15" t="s">
        <v>80</v>
      </c>
      <c r="C54" s="16" t="s">
        <v>81</v>
      </c>
      <c r="D54" s="273" t="str">
        <f t="shared" si="0"/>
        <v>2.1.3.02</v>
      </c>
    </row>
    <row r="55" spans="2:4">
      <c r="B55" s="15" t="s">
        <v>82</v>
      </c>
      <c r="C55" s="16" t="s">
        <v>655</v>
      </c>
      <c r="D55" s="273" t="str">
        <f t="shared" si="0"/>
        <v>2.1.3.03</v>
      </c>
    </row>
    <row r="56" spans="2:4" s="12" customFormat="1">
      <c r="B56" s="15" t="s">
        <v>216</v>
      </c>
      <c r="C56" s="16" t="s">
        <v>228</v>
      </c>
      <c r="D56" s="273" t="str">
        <f t="shared" si="0"/>
        <v>2.1.3.04</v>
      </c>
    </row>
    <row r="57" spans="2:4" s="12" customFormat="1">
      <c r="B57" s="15" t="s">
        <v>230</v>
      </c>
      <c r="C57" s="16" t="s">
        <v>229</v>
      </c>
      <c r="D57" s="273" t="str">
        <f t="shared" si="0"/>
        <v>2.1.3.05</v>
      </c>
    </row>
    <row r="58" spans="2:4" s="12" customFormat="1">
      <c r="B58" s="15" t="s">
        <v>231</v>
      </c>
      <c r="C58" s="16" t="s">
        <v>233</v>
      </c>
      <c r="D58" s="273" t="str">
        <f t="shared" si="0"/>
        <v>2.1.3.06</v>
      </c>
    </row>
    <row r="59" spans="2:4" s="12" customFormat="1">
      <c r="B59" s="15" t="s">
        <v>232</v>
      </c>
      <c r="C59" s="16" t="s">
        <v>234</v>
      </c>
      <c r="D59" s="273" t="str">
        <f t="shared" si="0"/>
        <v>2.1.3.07</v>
      </c>
    </row>
    <row r="60" spans="2:4" s="12" customFormat="1">
      <c r="B60" s="15" t="s">
        <v>565</v>
      </c>
      <c r="C60" s="16" t="s">
        <v>566</v>
      </c>
      <c r="D60" s="273" t="str">
        <f t="shared" si="0"/>
        <v>2.1.3.08</v>
      </c>
    </row>
    <row r="61" spans="2:4" s="4" customFormat="1">
      <c r="B61" s="13" t="s">
        <v>83</v>
      </c>
      <c r="C61" s="14" t="s">
        <v>84</v>
      </c>
      <c r="D61" s="273" t="str">
        <f t="shared" si="0"/>
        <v>2.1.4</v>
      </c>
    </row>
    <row r="62" spans="2:4">
      <c r="B62" s="15" t="s">
        <v>85</v>
      </c>
      <c r="C62" s="16" t="s">
        <v>86</v>
      </c>
      <c r="D62" s="273" t="str">
        <f t="shared" si="0"/>
        <v>2.1.4.01</v>
      </c>
    </row>
    <row r="63" spans="2:4">
      <c r="B63" s="15" t="s">
        <v>87</v>
      </c>
      <c r="C63" s="16" t="s">
        <v>394</v>
      </c>
      <c r="D63" s="273" t="str">
        <f t="shared" si="0"/>
        <v>2.1.4.02</v>
      </c>
    </row>
    <row r="64" spans="2:4">
      <c r="B64" s="16" t="s">
        <v>88</v>
      </c>
      <c r="C64" s="16" t="s">
        <v>393</v>
      </c>
      <c r="D64" s="273" t="str">
        <f t="shared" si="0"/>
        <v>2.1.4.03</v>
      </c>
    </row>
    <row r="65" spans="2:4" s="12" customFormat="1">
      <c r="B65" s="16" t="s">
        <v>219</v>
      </c>
      <c r="C65" s="16" t="s">
        <v>220</v>
      </c>
      <c r="D65" s="273" t="str">
        <f t="shared" si="0"/>
        <v>2.1.4.04</v>
      </c>
    </row>
    <row r="66" spans="2:4" s="4" customFormat="1">
      <c r="B66" s="13" t="s">
        <v>89</v>
      </c>
      <c r="C66" s="14" t="s">
        <v>90</v>
      </c>
      <c r="D66" s="273" t="str">
        <f t="shared" si="0"/>
        <v>2.1.5</v>
      </c>
    </row>
    <row r="67" spans="2:4">
      <c r="B67" s="15" t="s">
        <v>91</v>
      </c>
      <c r="C67" s="16" t="s">
        <v>92</v>
      </c>
      <c r="D67" s="273" t="str">
        <f t="shared" si="0"/>
        <v>2.1.5.01</v>
      </c>
    </row>
    <row r="68" spans="2:4">
      <c r="B68" s="15" t="s">
        <v>93</v>
      </c>
      <c r="C68" s="16" t="s">
        <v>94</v>
      </c>
      <c r="D68" s="273" t="str">
        <f t="shared" si="0"/>
        <v>2.1.5.02</v>
      </c>
    </row>
    <row r="69" spans="2:4">
      <c r="B69" s="15" t="s">
        <v>95</v>
      </c>
      <c r="C69" s="16" t="s">
        <v>96</v>
      </c>
      <c r="D69" s="273" t="str">
        <f t="shared" si="0"/>
        <v>2.1.5.03</v>
      </c>
    </row>
    <row r="70" spans="2:4" s="4" customFormat="1">
      <c r="B70" s="13" t="s">
        <v>97</v>
      </c>
      <c r="C70" s="14" t="s">
        <v>98</v>
      </c>
      <c r="D70" s="273" t="str">
        <f t="shared" si="0"/>
        <v>2.1.6</v>
      </c>
    </row>
    <row r="71" spans="2:4">
      <c r="B71" s="15" t="s">
        <v>99</v>
      </c>
      <c r="C71" s="16" t="s">
        <v>100</v>
      </c>
      <c r="D71" s="273" t="str">
        <f t="shared" si="0"/>
        <v>2.1.6.01</v>
      </c>
    </row>
    <row r="72" spans="2:4">
      <c r="B72" s="15" t="s">
        <v>101</v>
      </c>
      <c r="C72" s="16" t="s">
        <v>102</v>
      </c>
      <c r="D72" s="273" t="str">
        <f t="shared" si="0"/>
        <v>2.1.6.02</v>
      </c>
    </row>
    <row r="73" spans="2:4">
      <c r="B73" s="15" t="s">
        <v>103</v>
      </c>
      <c r="C73" s="16" t="s">
        <v>104</v>
      </c>
      <c r="D73" s="273" t="str">
        <f t="shared" si="0"/>
        <v>2.1.6.03</v>
      </c>
    </row>
    <row r="74" spans="2:4" s="4" customFormat="1" collapsed="1">
      <c r="B74" s="13" t="s">
        <v>105</v>
      </c>
      <c r="C74" s="14" t="s">
        <v>106</v>
      </c>
      <c r="D74" s="273" t="str">
        <f t="shared" si="0"/>
        <v>2.2</v>
      </c>
    </row>
    <row r="75" spans="2:4" s="4" customFormat="1">
      <c r="B75" s="13" t="s">
        <v>107</v>
      </c>
      <c r="C75" s="14" t="s">
        <v>75</v>
      </c>
      <c r="D75" s="273" t="str">
        <f t="shared" si="0"/>
        <v>2.2.1</v>
      </c>
    </row>
    <row r="76" spans="2:4">
      <c r="B76" s="15" t="s">
        <v>108</v>
      </c>
      <c r="C76" s="16" t="s">
        <v>109</v>
      </c>
      <c r="D76" s="273" t="str">
        <f t="shared" ref="D76:D128" si="2">B76</f>
        <v>2.2.1.01</v>
      </c>
    </row>
    <row r="77" spans="2:4" s="4" customFormat="1">
      <c r="B77" s="13" t="s">
        <v>110</v>
      </c>
      <c r="C77" s="14" t="s">
        <v>111</v>
      </c>
      <c r="D77" s="273" t="str">
        <f t="shared" si="2"/>
        <v>2.2.2</v>
      </c>
    </row>
    <row r="78" spans="2:4">
      <c r="B78" s="15" t="s">
        <v>112</v>
      </c>
      <c r="C78" s="16" t="s">
        <v>113</v>
      </c>
      <c r="D78" s="273" t="str">
        <f t="shared" si="2"/>
        <v>2.2.2.01</v>
      </c>
    </row>
    <row r="79" spans="2:4" s="4" customFormat="1" collapsed="1">
      <c r="B79" s="13" t="s">
        <v>114</v>
      </c>
      <c r="C79" s="14" t="s">
        <v>115</v>
      </c>
      <c r="D79" s="273" t="str">
        <f t="shared" si="2"/>
        <v>2.3</v>
      </c>
    </row>
    <row r="80" spans="2:4" s="4" customFormat="1">
      <c r="B80" s="13" t="s">
        <v>116</v>
      </c>
      <c r="C80" s="14" t="s">
        <v>117</v>
      </c>
      <c r="D80" s="273" t="str">
        <f t="shared" si="2"/>
        <v>2.3.1</v>
      </c>
    </row>
    <row r="81" spans="2:4">
      <c r="B81" s="15" t="s">
        <v>118</v>
      </c>
      <c r="C81" s="16" t="s">
        <v>119</v>
      </c>
      <c r="D81" s="273" t="str">
        <f t="shared" si="2"/>
        <v>2.3.1.01</v>
      </c>
    </row>
    <row r="82" spans="2:4">
      <c r="B82" s="15" t="s">
        <v>120</v>
      </c>
      <c r="C82" s="16" t="s">
        <v>121</v>
      </c>
      <c r="D82" s="273" t="str">
        <f t="shared" si="2"/>
        <v>2.3.1.02</v>
      </c>
    </row>
    <row r="83" spans="2:4" s="4" customFormat="1">
      <c r="B83" s="13" t="s">
        <v>122</v>
      </c>
      <c r="C83" s="14" t="s">
        <v>123</v>
      </c>
      <c r="D83" s="273" t="str">
        <f t="shared" si="2"/>
        <v>2.3.2</v>
      </c>
    </row>
    <row r="84" spans="2:4">
      <c r="B84" s="15" t="s">
        <v>124</v>
      </c>
      <c r="C84" s="16" t="s">
        <v>125</v>
      </c>
      <c r="D84" s="273" t="str">
        <f t="shared" si="2"/>
        <v>2.3.2.01</v>
      </c>
    </row>
    <row r="85" spans="2:4">
      <c r="B85" s="15" t="s">
        <v>126</v>
      </c>
      <c r="C85" s="16" t="s">
        <v>127</v>
      </c>
      <c r="D85" s="273" t="str">
        <f t="shared" si="2"/>
        <v>2.3.2.02</v>
      </c>
    </row>
    <row r="86" spans="2:4" s="4" customFormat="1">
      <c r="B86" s="13" t="s">
        <v>128</v>
      </c>
      <c r="C86" s="14" t="s">
        <v>129</v>
      </c>
      <c r="D86" s="273" t="str">
        <f t="shared" si="2"/>
        <v>2.3.3</v>
      </c>
    </row>
    <row r="87" spans="2:4">
      <c r="B87" s="15" t="s">
        <v>130</v>
      </c>
      <c r="C87" s="16" t="s">
        <v>131</v>
      </c>
      <c r="D87" s="273" t="str">
        <f t="shared" si="2"/>
        <v>2.3.3.01</v>
      </c>
    </row>
    <row r="88" spans="2:4">
      <c r="B88" s="15" t="s">
        <v>132</v>
      </c>
      <c r="C88" s="16" t="s">
        <v>133</v>
      </c>
      <c r="D88" s="273" t="str">
        <f t="shared" si="2"/>
        <v>2.3.3.02</v>
      </c>
    </row>
    <row r="89" spans="2:4" collapsed="1">
      <c r="B89" s="13">
        <v>3</v>
      </c>
      <c r="C89" s="14" t="s">
        <v>134</v>
      </c>
      <c r="D89" s="273">
        <f t="shared" si="2"/>
        <v>3</v>
      </c>
    </row>
    <row r="90" spans="2:4" s="4" customFormat="1">
      <c r="B90" s="13" t="s">
        <v>135</v>
      </c>
      <c r="C90" s="14" t="s">
        <v>136</v>
      </c>
      <c r="D90" s="273" t="str">
        <f t="shared" si="2"/>
        <v>3.1</v>
      </c>
    </row>
    <row r="91" spans="2:4" s="4" customFormat="1">
      <c r="B91" s="13" t="s">
        <v>137</v>
      </c>
      <c r="C91" s="14" t="s">
        <v>138</v>
      </c>
      <c r="D91" s="273" t="str">
        <f t="shared" si="2"/>
        <v>3.1.1</v>
      </c>
    </row>
    <row r="92" spans="2:4">
      <c r="B92" s="15" t="s">
        <v>139</v>
      </c>
      <c r="C92" s="16" t="s">
        <v>140</v>
      </c>
      <c r="D92" s="273" t="str">
        <f t="shared" si="2"/>
        <v>3.1.1.01</v>
      </c>
    </row>
    <row r="93" spans="2:4">
      <c r="B93" s="15" t="s">
        <v>141</v>
      </c>
      <c r="C93" s="16" t="s">
        <v>142</v>
      </c>
      <c r="D93" s="273" t="str">
        <f t="shared" si="2"/>
        <v>3.1.1.02</v>
      </c>
    </row>
    <row r="94" spans="2:4">
      <c r="B94" s="15" t="s">
        <v>143</v>
      </c>
      <c r="C94" s="16" t="s">
        <v>568</v>
      </c>
      <c r="D94" s="273" t="str">
        <f t="shared" si="2"/>
        <v>3.1.1.03</v>
      </c>
    </row>
    <row r="95" spans="2:4">
      <c r="B95" s="15" t="s">
        <v>144</v>
      </c>
      <c r="C95" s="16" t="s">
        <v>572</v>
      </c>
      <c r="D95" s="273" t="str">
        <f t="shared" si="2"/>
        <v>3.1.1.04</v>
      </c>
    </row>
    <row r="96" spans="2:4">
      <c r="B96" s="15" t="s">
        <v>389</v>
      </c>
      <c r="C96" s="16" t="s">
        <v>573</v>
      </c>
      <c r="D96" s="273" t="str">
        <f t="shared" si="2"/>
        <v>3.1.1.05</v>
      </c>
    </row>
    <row r="97" spans="2:4">
      <c r="B97" s="15" t="s">
        <v>569</v>
      </c>
      <c r="C97" s="16" t="s">
        <v>574</v>
      </c>
      <c r="D97" s="273" t="str">
        <f t="shared" si="2"/>
        <v>3.1.1.06</v>
      </c>
    </row>
    <row r="98" spans="2:4">
      <c r="B98" s="15" t="s">
        <v>570</v>
      </c>
      <c r="C98" s="16" t="s">
        <v>575</v>
      </c>
      <c r="D98" s="273" t="str">
        <f t="shared" si="2"/>
        <v>3.1.1.07</v>
      </c>
    </row>
    <row r="99" spans="2:4">
      <c r="B99" s="16" t="s">
        <v>571</v>
      </c>
      <c r="C99" s="16" t="s">
        <v>390</v>
      </c>
      <c r="D99" s="273" t="str">
        <f t="shared" si="2"/>
        <v>3.1.1.08</v>
      </c>
    </row>
    <row r="100" spans="2:4" s="4" customFormat="1">
      <c r="B100" s="13" t="s">
        <v>146</v>
      </c>
      <c r="C100" s="14" t="s">
        <v>147</v>
      </c>
      <c r="D100" s="273" t="str">
        <f t="shared" si="2"/>
        <v>3.1.2</v>
      </c>
    </row>
    <row r="101" spans="2:4">
      <c r="B101" s="15" t="s">
        <v>148</v>
      </c>
      <c r="C101" s="16" t="s">
        <v>149</v>
      </c>
      <c r="D101" s="273" t="str">
        <f t="shared" si="2"/>
        <v>3.1.2.01</v>
      </c>
    </row>
    <row r="102" spans="2:4">
      <c r="B102" s="15" t="s">
        <v>150</v>
      </c>
      <c r="C102" s="16" t="s">
        <v>151</v>
      </c>
      <c r="D102" s="273" t="str">
        <f t="shared" si="2"/>
        <v>3.1.2.02</v>
      </c>
    </row>
    <row r="103" spans="2:4" s="4" customFormat="1">
      <c r="B103" s="13" t="s">
        <v>152</v>
      </c>
      <c r="C103" s="14" t="s">
        <v>153</v>
      </c>
      <c r="D103" s="273" t="str">
        <f t="shared" si="2"/>
        <v>3.1.3</v>
      </c>
    </row>
    <row r="104" spans="2:4">
      <c r="B104" s="15" t="s">
        <v>154</v>
      </c>
      <c r="C104" s="16" t="s">
        <v>155</v>
      </c>
      <c r="D104" s="273" t="str">
        <f t="shared" si="2"/>
        <v>3.1.3.01</v>
      </c>
    </row>
    <row r="105" spans="2:4">
      <c r="B105" s="15" t="s">
        <v>156</v>
      </c>
      <c r="C105" s="16" t="s">
        <v>157</v>
      </c>
      <c r="D105" s="273" t="str">
        <f t="shared" si="2"/>
        <v>3.1.3.02</v>
      </c>
    </row>
    <row r="106" spans="2:4">
      <c r="B106" s="15" t="s">
        <v>158</v>
      </c>
      <c r="C106" s="16" t="s">
        <v>159</v>
      </c>
      <c r="D106" s="273" t="str">
        <f t="shared" si="2"/>
        <v>3.1.3.03</v>
      </c>
    </row>
    <row r="107" spans="2:4" s="4" customFormat="1" collapsed="1">
      <c r="B107" s="13" t="s">
        <v>160</v>
      </c>
      <c r="C107" s="14" t="s">
        <v>161</v>
      </c>
      <c r="D107" s="273" t="str">
        <f t="shared" si="2"/>
        <v>3.2</v>
      </c>
    </row>
    <row r="108" spans="2:4" s="4" customFormat="1">
      <c r="B108" s="13" t="s">
        <v>162</v>
      </c>
      <c r="C108" s="14" t="s">
        <v>163</v>
      </c>
      <c r="D108" s="273" t="str">
        <f t="shared" si="2"/>
        <v>3.2.1</v>
      </c>
    </row>
    <row r="109" spans="2:4">
      <c r="B109" s="15" t="s">
        <v>164</v>
      </c>
      <c r="C109" s="16" t="s">
        <v>576</v>
      </c>
      <c r="D109" s="273" t="str">
        <f t="shared" si="2"/>
        <v>3.2.1.01</v>
      </c>
    </row>
    <row r="110" spans="2:4">
      <c r="B110" s="15" t="s">
        <v>165</v>
      </c>
      <c r="C110" s="16" t="s">
        <v>577</v>
      </c>
      <c r="D110" s="273" t="str">
        <f t="shared" si="2"/>
        <v>3.2.1.02</v>
      </c>
    </row>
    <row r="111" spans="2:4">
      <c r="B111" s="15" t="s">
        <v>166</v>
      </c>
      <c r="C111" s="16" t="s">
        <v>578</v>
      </c>
      <c r="D111" s="273" t="str">
        <f t="shared" si="2"/>
        <v>3.2.1.03</v>
      </c>
    </row>
    <row r="112" spans="2:4" s="4" customFormat="1">
      <c r="B112" s="13" t="s">
        <v>167</v>
      </c>
      <c r="C112" s="14" t="s">
        <v>169</v>
      </c>
      <c r="D112" s="273" t="str">
        <f t="shared" si="2"/>
        <v>3.2.2</v>
      </c>
    </row>
    <row r="113" spans="2:4">
      <c r="B113" s="15" t="s">
        <v>168</v>
      </c>
      <c r="C113" s="16" t="s">
        <v>579</v>
      </c>
      <c r="D113" s="273" t="str">
        <f t="shared" si="2"/>
        <v>3.2.2.01</v>
      </c>
    </row>
    <row r="114" spans="2:4">
      <c r="B114" s="15" t="s">
        <v>170</v>
      </c>
      <c r="C114" s="16" t="s">
        <v>580</v>
      </c>
      <c r="D114" s="273" t="str">
        <f t="shared" si="2"/>
        <v>3.2.2.02</v>
      </c>
    </row>
    <row r="115" spans="2:4">
      <c r="B115" s="15" t="s">
        <v>172</v>
      </c>
      <c r="C115" s="16" t="s">
        <v>582</v>
      </c>
      <c r="D115" s="273" t="str">
        <f t="shared" si="2"/>
        <v>3.2.2.03</v>
      </c>
    </row>
    <row r="116" spans="2:4">
      <c r="B116" s="15" t="s">
        <v>581</v>
      </c>
      <c r="C116" s="16" t="s">
        <v>629</v>
      </c>
      <c r="D116" s="273" t="str">
        <f t="shared" si="2"/>
        <v>3.2.2.04</v>
      </c>
    </row>
    <row r="117" spans="2:4" s="4" customFormat="1">
      <c r="B117" s="15" t="s">
        <v>630</v>
      </c>
      <c r="C117" s="16" t="s">
        <v>631</v>
      </c>
      <c r="D117" s="273" t="str">
        <f t="shared" si="2"/>
        <v>3.2.2.05</v>
      </c>
    </row>
    <row r="118" spans="2:4">
      <c r="B118" s="13" t="s">
        <v>174</v>
      </c>
      <c r="C118" s="14" t="s">
        <v>171</v>
      </c>
      <c r="D118" s="273" t="str">
        <f t="shared" si="2"/>
        <v>3.2.3</v>
      </c>
    </row>
    <row r="119" spans="2:4">
      <c r="B119" s="15" t="s">
        <v>176</v>
      </c>
      <c r="C119" s="16" t="s">
        <v>587</v>
      </c>
      <c r="D119" s="273" t="str">
        <f t="shared" si="2"/>
        <v>3.2.3.01</v>
      </c>
    </row>
    <row r="120" spans="2:4">
      <c r="B120" s="15" t="s">
        <v>178</v>
      </c>
      <c r="C120" s="16" t="s">
        <v>588</v>
      </c>
      <c r="D120" s="273" t="str">
        <f t="shared" si="2"/>
        <v>3.2.3.02</v>
      </c>
    </row>
    <row r="121" spans="2:4" s="4" customFormat="1">
      <c r="B121" s="15" t="s">
        <v>589</v>
      </c>
      <c r="C121" s="16" t="s">
        <v>590</v>
      </c>
      <c r="D121" s="273" t="str">
        <f t="shared" si="2"/>
        <v>3.2.3.03</v>
      </c>
    </row>
    <row r="122" spans="2:4">
      <c r="B122" s="13" t="s">
        <v>179</v>
      </c>
      <c r="C122" s="14" t="s">
        <v>175</v>
      </c>
      <c r="D122" s="273" t="str">
        <f t="shared" si="2"/>
        <v>3.2.4</v>
      </c>
    </row>
    <row r="123" spans="2:4">
      <c r="B123" s="15" t="s">
        <v>180</v>
      </c>
      <c r="C123" s="16" t="s">
        <v>177</v>
      </c>
      <c r="D123" s="273" t="str">
        <f t="shared" si="2"/>
        <v>3.2.4.01</v>
      </c>
    </row>
    <row r="124" spans="2:4" collapsed="1">
      <c r="B124" s="15" t="s">
        <v>181</v>
      </c>
      <c r="C124" s="16" t="s">
        <v>596</v>
      </c>
      <c r="D124" s="273" t="str">
        <f t="shared" si="2"/>
        <v>3.2.4.02</v>
      </c>
    </row>
    <row r="125" spans="2:4">
      <c r="B125" s="13" t="s">
        <v>583</v>
      </c>
      <c r="C125" s="14" t="s">
        <v>670</v>
      </c>
      <c r="D125" s="273" t="str">
        <f t="shared" si="2"/>
        <v>3.2.5</v>
      </c>
    </row>
    <row r="126" spans="2:4">
      <c r="B126" s="15" t="s">
        <v>584</v>
      </c>
      <c r="C126" s="16" t="s">
        <v>671</v>
      </c>
      <c r="D126" s="273" t="str">
        <f t="shared" si="2"/>
        <v>3.2.5.01</v>
      </c>
    </row>
    <row r="127" spans="2:4">
      <c r="B127" s="15" t="s">
        <v>585</v>
      </c>
      <c r="C127" s="16" t="s">
        <v>672</v>
      </c>
      <c r="D127" s="273" t="str">
        <f t="shared" si="2"/>
        <v>3.2.5.02</v>
      </c>
    </row>
    <row r="128" spans="2:4">
      <c r="B128" s="15" t="s">
        <v>586</v>
      </c>
      <c r="C128" s="16" t="s">
        <v>673</v>
      </c>
      <c r="D128" s="273" t="str">
        <f t="shared" si="2"/>
        <v>3.2.5.03</v>
      </c>
    </row>
  </sheetData>
  <mergeCells count="1">
    <mergeCell ref="B1:C2"/>
  </mergeCells>
  <phoneticPr fontId="3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109"/>
  <sheetViews>
    <sheetView showGridLines="0" showRowColHeaders="0" zoomScale="110" zoomScaleNormal="110" workbookViewId="0">
      <pane ySplit="3" topLeftCell="A4" activePane="bottomLeft" state="frozen"/>
      <selection pane="bottomLeft"/>
    </sheetView>
  </sheetViews>
  <sheetFormatPr defaultColWidth="6" defaultRowHeight="13.8"/>
  <cols>
    <col min="1" max="1" width="3.5546875" style="1" customWidth="1"/>
    <col min="2" max="2" width="4.88671875" style="6" customWidth="1"/>
    <col min="3" max="3" width="13" style="7" bestFit="1" customWidth="1"/>
    <col min="4" max="4" width="139.77734375" style="10" customWidth="1"/>
    <col min="5" max="16384" width="6" style="1"/>
  </cols>
  <sheetData>
    <row r="2" spans="1:4">
      <c r="A2" s="2"/>
      <c r="D2" s="11" t="s">
        <v>201</v>
      </c>
    </row>
    <row r="3" spans="1:4" s="5" customFormat="1">
      <c r="B3" s="8"/>
      <c r="C3" s="8"/>
    </row>
    <row r="5" spans="1:4" ht="27.6">
      <c r="B5" s="238">
        <v>1</v>
      </c>
      <c r="C5" s="9">
        <v>44839</v>
      </c>
      <c r="D5" s="10" t="s">
        <v>377</v>
      </c>
    </row>
    <row r="6" spans="1:4">
      <c r="B6" s="238"/>
    </row>
    <row r="7" spans="1:4">
      <c r="B7" s="238">
        <v>2</v>
      </c>
      <c r="C7" s="9">
        <v>44844</v>
      </c>
      <c r="D7" s="10" t="s">
        <v>235</v>
      </c>
    </row>
    <row r="8" spans="1:4">
      <c r="B8" s="238"/>
    </row>
    <row r="9" spans="1:4">
      <c r="B9" s="238">
        <v>3</v>
      </c>
      <c r="C9" s="9">
        <v>44844</v>
      </c>
      <c r="D9" s="10" t="s">
        <v>392</v>
      </c>
    </row>
    <row r="10" spans="1:4">
      <c r="B10" s="238"/>
    </row>
    <row r="11" spans="1:4" ht="27.6">
      <c r="B11" s="238">
        <v>4</v>
      </c>
      <c r="C11" s="9">
        <v>44844</v>
      </c>
      <c r="D11" s="10" t="s">
        <v>384</v>
      </c>
    </row>
    <row r="12" spans="1:4">
      <c r="B12" s="238"/>
    </row>
    <row r="13" spans="1:4">
      <c r="B13" s="238">
        <v>5</v>
      </c>
      <c r="C13" s="9">
        <v>44844</v>
      </c>
      <c r="D13" s="10" t="s">
        <v>383</v>
      </c>
    </row>
    <row r="14" spans="1:4">
      <c r="B14" s="238"/>
    </row>
    <row r="15" spans="1:4" ht="27.6">
      <c r="B15" s="238">
        <v>6</v>
      </c>
      <c r="C15" s="9">
        <v>44849</v>
      </c>
      <c r="D15" s="10" t="s">
        <v>387</v>
      </c>
    </row>
    <row r="16" spans="1:4">
      <c r="B16" s="238"/>
    </row>
    <row r="17" spans="2:4" ht="27.6">
      <c r="B17" s="238">
        <v>7</v>
      </c>
      <c r="C17" s="9">
        <v>44854</v>
      </c>
      <c r="D17" s="10" t="s">
        <v>431</v>
      </c>
    </row>
    <row r="18" spans="2:4">
      <c r="B18" s="238"/>
    </row>
    <row r="19" spans="2:4" ht="27.6">
      <c r="B19" s="238">
        <v>8</v>
      </c>
      <c r="C19" s="9">
        <v>44859</v>
      </c>
      <c r="D19" s="10" t="s">
        <v>432</v>
      </c>
    </row>
    <row r="20" spans="2:4">
      <c r="B20" s="238"/>
    </row>
    <row r="21" spans="2:4" ht="28.2" customHeight="1">
      <c r="B21" s="238">
        <v>9</v>
      </c>
      <c r="C21" s="9">
        <v>44864</v>
      </c>
      <c r="D21" s="10" t="s">
        <v>391</v>
      </c>
    </row>
    <row r="22" spans="2:4">
      <c r="B22" s="238"/>
    </row>
    <row r="23" spans="2:4" ht="27.6">
      <c r="B23" s="238">
        <v>10</v>
      </c>
      <c r="C23" s="9">
        <v>44865</v>
      </c>
      <c r="D23" s="10" t="s">
        <v>496</v>
      </c>
    </row>
    <row r="24" spans="2:4">
      <c r="B24" s="238"/>
    </row>
    <row r="25" spans="2:4">
      <c r="B25" s="238">
        <v>11</v>
      </c>
      <c r="C25" s="9">
        <v>44865</v>
      </c>
      <c r="D25" s="10" t="s">
        <v>202</v>
      </c>
    </row>
    <row r="26" spans="2:4" ht="14.4" thickBot="1">
      <c r="B26" s="239"/>
      <c r="C26" s="22"/>
      <c r="D26" s="23"/>
    </row>
    <row r="27" spans="2:4">
      <c r="B27" s="7"/>
    </row>
    <row r="28" spans="2:4">
      <c r="B28" s="238">
        <v>12</v>
      </c>
      <c r="C28" s="9">
        <v>44870</v>
      </c>
      <c r="D28" s="24" t="s">
        <v>503</v>
      </c>
    </row>
    <row r="29" spans="2:4">
      <c r="B29" s="172"/>
      <c r="D29" s="24"/>
    </row>
    <row r="30" spans="2:4" ht="13.8" customHeight="1">
      <c r="B30" s="238">
        <v>13</v>
      </c>
      <c r="C30" s="9">
        <v>44872</v>
      </c>
      <c r="D30" s="24" t="s">
        <v>497</v>
      </c>
    </row>
    <row r="31" spans="2:4">
      <c r="B31" s="172"/>
      <c r="D31" s="24"/>
    </row>
    <row r="32" spans="2:4">
      <c r="B32" s="238">
        <v>14</v>
      </c>
      <c r="C32" s="9">
        <v>44875</v>
      </c>
      <c r="D32" s="24" t="s">
        <v>404</v>
      </c>
    </row>
    <row r="33" spans="2:4">
      <c r="B33" s="172"/>
      <c r="D33" s="24"/>
    </row>
    <row r="34" spans="2:4">
      <c r="B34" s="238">
        <v>15</v>
      </c>
      <c r="C34" s="9">
        <v>44875</v>
      </c>
      <c r="D34" s="24" t="s">
        <v>498</v>
      </c>
    </row>
    <row r="35" spans="2:4">
      <c r="B35" s="172"/>
      <c r="D35" s="24"/>
    </row>
    <row r="36" spans="2:4" ht="27.6">
      <c r="B36" s="238">
        <v>16</v>
      </c>
      <c r="C36" s="9">
        <v>44880</v>
      </c>
      <c r="D36" s="24" t="s">
        <v>499</v>
      </c>
    </row>
    <row r="37" spans="2:4">
      <c r="B37" s="172"/>
      <c r="D37" s="24"/>
    </row>
    <row r="38" spans="2:4">
      <c r="B38" s="238">
        <v>17</v>
      </c>
      <c r="C38" s="9">
        <v>44880</v>
      </c>
      <c r="D38" s="24" t="s">
        <v>500</v>
      </c>
    </row>
    <row r="39" spans="2:4">
      <c r="B39" s="172"/>
      <c r="D39" s="24"/>
    </row>
    <row r="40" spans="2:4">
      <c r="B40" s="238">
        <v>18</v>
      </c>
      <c r="C40" s="9">
        <v>44880</v>
      </c>
      <c r="D40" s="24" t="s">
        <v>411</v>
      </c>
    </row>
    <row r="41" spans="2:4">
      <c r="B41" s="172"/>
      <c r="D41" s="24"/>
    </row>
    <row r="42" spans="2:4">
      <c r="B42" s="238">
        <v>19</v>
      </c>
      <c r="C42" s="9">
        <v>44881</v>
      </c>
      <c r="D42" s="24" t="s">
        <v>236</v>
      </c>
    </row>
    <row r="43" spans="2:4">
      <c r="B43" s="172"/>
      <c r="D43" s="24"/>
    </row>
    <row r="44" spans="2:4">
      <c r="B44" s="238">
        <v>20</v>
      </c>
      <c r="C44" s="9">
        <v>44881</v>
      </c>
      <c r="D44" s="24" t="s">
        <v>237</v>
      </c>
    </row>
    <row r="45" spans="2:4">
      <c r="B45" s="172"/>
      <c r="D45" s="24"/>
    </row>
    <row r="46" spans="2:4">
      <c r="B46" s="238">
        <v>21</v>
      </c>
      <c r="C46" s="9">
        <v>44885</v>
      </c>
      <c r="D46" s="24" t="s">
        <v>399</v>
      </c>
    </row>
    <row r="47" spans="2:4">
      <c r="B47" s="172"/>
      <c r="D47" s="24"/>
    </row>
    <row r="48" spans="2:4">
      <c r="B48" s="238">
        <v>22</v>
      </c>
      <c r="C48" s="9">
        <v>44885</v>
      </c>
      <c r="D48" s="24" t="s">
        <v>238</v>
      </c>
    </row>
    <row r="49" spans="2:4">
      <c r="B49" s="171"/>
      <c r="C49" s="9"/>
      <c r="D49" s="24"/>
    </row>
    <row r="50" spans="2:4">
      <c r="B50" s="238">
        <v>23</v>
      </c>
      <c r="C50" s="9">
        <v>44885</v>
      </c>
      <c r="D50" s="24" t="s">
        <v>396</v>
      </c>
    </row>
    <row r="51" spans="2:4">
      <c r="B51" s="171"/>
      <c r="C51" s="9"/>
      <c r="D51" s="24"/>
    </row>
    <row r="52" spans="2:4">
      <c r="B52" s="238">
        <v>24</v>
      </c>
      <c r="C52" s="9">
        <v>44886</v>
      </c>
      <c r="D52" s="24" t="s">
        <v>239</v>
      </c>
    </row>
    <row r="53" spans="2:4">
      <c r="B53" s="171"/>
      <c r="D53" s="24"/>
    </row>
    <row r="54" spans="2:4">
      <c r="B54" s="238">
        <v>25</v>
      </c>
      <c r="C54" s="9">
        <v>44889</v>
      </c>
      <c r="D54" s="10" t="s">
        <v>395</v>
      </c>
    </row>
    <row r="55" spans="2:4">
      <c r="B55" s="172"/>
      <c r="D55" s="24"/>
    </row>
    <row r="56" spans="2:4" ht="27.6">
      <c r="B56" s="238">
        <v>26</v>
      </c>
      <c r="C56" s="9">
        <v>44890</v>
      </c>
      <c r="D56" s="24" t="s">
        <v>240</v>
      </c>
    </row>
    <row r="57" spans="2:4">
      <c r="B57" s="172"/>
      <c r="D57" s="24"/>
    </row>
    <row r="58" spans="2:4">
      <c r="B58" s="238">
        <v>27</v>
      </c>
      <c r="C58" s="9">
        <v>44893</v>
      </c>
      <c r="D58" s="24" t="s">
        <v>204</v>
      </c>
    </row>
    <row r="59" spans="2:4">
      <c r="B59" s="172"/>
    </row>
    <row r="60" spans="2:4">
      <c r="B60" s="238">
        <v>28</v>
      </c>
      <c r="C60" s="9">
        <v>44893</v>
      </c>
      <c r="D60" s="24" t="s">
        <v>418</v>
      </c>
    </row>
    <row r="61" spans="2:4" ht="14.4" thickBot="1">
      <c r="B61" s="171"/>
      <c r="C61" s="22"/>
      <c r="D61" s="23"/>
    </row>
    <row r="62" spans="2:4">
      <c r="B62" s="172"/>
      <c r="D62" s="24"/>
    </row>
    <row r="63" spans="2:4">
      <c r="B63" s="238">
        <v>29</v>
      </c>
      <c r="C63" s="9">
        <v>44900</v>
      </c>
      <c r="D63" s="24" t="s">
        <v>504</v>
      </c>
    </row>
    <row r="64" spans="2:4">
      <c r="B64" s="172"/>
      <c r="D64" s="24"/>
    </row>
    <row r="65" spans="2:4" ht="27.6">
      <c r="B65" s="238">
        <v>30</v>
      </c>
      <c r="C65" s="9">
        <v>44900</v>
      </c>
      <c r="D65" s="24" t="s">
        <v>501</v>
      </c>
    </row>
    <row r="66" spans="2:4">
      <c r="B66" s="238">
        <v>31</v>
      </c>
      <c r="C66" s="9">
        <v>44902</v>
      </c>
      <c r="D66" s="24" t="s">
        <v>241</v>
      </c>
    </row>
    <row r="67" spans="2:4">
      <c r="B67" s="172"/>
      <c r="D67" s="24"/>
    </row>
    <row r="68" spans="2:4">
      <c r="B68" s="238">
        <v>32</v>
      </c>
      <c r="C68" s="9">
        <v>44905</v>
      </c>
      <c r="D68" s="24" t="s">
        <v>203</v>
      </c>
    </row>
    <row r="69" spans="2:4">
      <c r="B69" s="172"/>
      <c r="D69" s="24"/>
    </row>
    <row r="70" spans="2:4">
      <c r="B70" s="238">
        <v>33</v>
      </c>
      <c r="C70" s="9">
        <v>44905</v>
      </c>
      <c r="D70" s="24" t="s">
        <v>397</v>
      </c>
    </row>
    <row r="71" spans="2:4">
      <c r="B71" s="172"/>
      <c r="D71" s="24"/>
    </row>
    <row r="72" spans="2:4">
      <c r="B72" s="238">
        <v>34</v>
      </c>
      <c r="C72" s="9">
        <v>44910</v>
      </c>
      <c r="D72" s="10" t="s">
        <v>401</v>
      </c>
    </row>
    <row r="73" spans="2:4">
      <c r="B73" s="173"/>
      <c r="D73" s="24"/>
    </row>
    <row r="74" spans="2:4" ht="27.6">
      <c r="B74" s="238">
        <v>35</v>
      </c>
      <c r="C74" s="9">
        <v>44910</v>
      </c>
      <c r="D74" s="24" t="s">
        <v>502</v>
      </c>
    </row>
    <row r="75" spans="2:4">
      <c r="B75" s="171"/>
      <c r="D75" s="24"/>
    </row>
    <row r="76" spans="2:4">
      <c r="B76" s="238">
        <v>36</v>
      </c>
      <c r="C76" s="9">
        <v>44910</v>
      </c>
      <c r="D76" s="24" t="s">
        <v>398</v>
      </c>
    </row>
    <row r="77" spans="2:4">
      <c r="B77" s="173"/>
      <c r="D77" s="24"/>
    </row>
    <row r="78" spans="2:4">
      <c r="B78" s="238">
        <v>37</v>
      </c>
      <c r="C78" s="9">
        <v>44915</v>
      </c>
      <c r="D78" s="24" t="s">
        <v>430</v>
      </c>
    </row>
    <row r="79" spans="2:4">
      <c r="B79" s="173"/>
      <c r="D79" s="24"/>
    </row>
    <row r="80" spans="2:4">
      <c r="B80" s="238">
        <v>38</v>
      </c>
      <c r="C80" s="9">
        <v>44915</v>
      </c>
      <c r="D80" s="24" t="s">
        <v>242</v>
      </c>
    </row>
    <row r="81" spans="2:4">
      <c r="B81" s="173"/>
      <c r="D81" s="24"/>
    </row>
    <row r="82" spans="2:4">
      <c r="B82" s="238">
        <v>39</v>
      </c>
      <c r="C82" s="9">
        <v>44916</v>
      </c>
      <c r="D82" s="24" t="s">
        <v>505</v>
      </c>
    </row>
    <row r="83" spans="2:4">
      <c r="B83" s="173"/>
      <c r="D83" s="24"/>
    </row>
    <row r="84" spans="2:4">
      <c r="B84" s="238">
        <v>40</v>
      </c>
      <c r="C84" s="9">
        <v>44916</v>
      </c>
      <c r="D84" s="24" t="s">
        <v>205</v>
      </c>
    </row>
    <row r="85" spans="2:4">
      <c r="B85" s="172"/>
      <c r="D85" s="24"/>
    </row>
    <row r="86" spans="2:4">
      <c r="B86" s="238">
        <v>41</v>
      </c>
      <c r="C86" s="9">
        <v>44916</v>
      </c>
      <c r="D86" s="24" t="s">
        <v>237</v>
      </c>
    </row>
    <row r="87" spans="2:4">
      <c r="B87" s="172"/>
      <c r="D87" s="24"/>
    </row>
    <row r="88" spans="2:4">
      <c r="B88" s="238">
        <v>42</v>
      </c>
      <c r="C88" s="9">
        <v>44926</v>
      </c>
      <c r="D88" s="10" t="s">
        <v>395</v>
      </c>
    </row>
    <row r="89" spans="2:4">
      <c r="B89" s="172"/>
      <c r="D89" s="24"/>
    </row>
    <row r="90" spans="2:4" ht="27.6">
      <c r="B90" s="238">
        <v>43</v>
      </c>
      <c r="C90" s="9">
        <v>44926</v>
      </c>
      <c r="D90" s="24" t="s">
        <v>244</v>
      </c>
    </row>
    <row r="91" spans="2:4">
      <c r="B91" s="172"/>
      <c r="D91" s="24"/>
    </row>
    <row r="92" spans="2:4">
      <c r="B92" s="238">
        <v>44</v>
      </c>
      <c r="C92" s="9">
        <v>44926</v>
      </c>
      <c r="D92" s="24" t="s">
        <v>204</v>
      </c>
    </row>
    <row r="93" spans="2:4">
      <c r="B93" s="171"/>
      <c r="C93" s="9"/>
      <c r="D93" s="24"/>
    </row>
    <row r="94" spans="2:4">
      <c r="B94" s="238">
        <v>45</v>
      </c>
      <c r="C94" s="9">
        <v>44926</v>
      </c>
      <c r="D94" s="24" t="s">
        <v>418</v>
      </c>
    </row>
    <row r="95" spans="2:4">
      <c r="B95" s="171"/>
    </row>
    <row r="96" spans="2:4" ht="14.4" thickBot="1">
      <c r="B96" s="238"/>
      <c r="C96" s="22"/>
      <c r="D96" s="25"/>
    </row>
    <row r="97" spans="2:4">
      <c r="B97" s="171"/>
    </row>
    <row r="109" spans="2:4">
      <c r="D109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45"/>
  <sheetViews>
    <sheetView showGridLines="0" showRowColHeaders="0" zoomScale="90" zoomScaleNormal="90" workbookViewId="0">
      <pane ySplit="5" topLeftCell="A6" activePane="bottomLeft" state="frozen"/>
      <selection pane="bottomLeft"/>
    </sheetView>
  </sheetViews>
  <sheetFormatPr defaultColWidth="9.109375" defaultRowHeight="15"/>
  <cols>
    <col min="1" max="1" width="3.33203125" style="158" customWidth="1"/>
    <col min="2" max="2" width="7.6640625" style="160" customWidth="1"/>
    <col min="3" max="3" width="11" style="161" bestFit="1" customWidth="1"/>
    <col min="4" max="4" width="16.109375" style="209" customWidth="1"/>
    <col min="5" max="5" width="42.21875" style="158" bestFit="1" customWidth="1"/>
    <col min="6" max="6" width="16.6640625" style="159" bestFit="1" customWidth="1"/>
    <col min="7" max="7" width="4.6640625" style="159" customWidth="1"/>
    <col min="8" max="8" width="79.88671875" style="169" customWidth="1"/>
    <col min="9" max="16384" width="9.109375" style="158"/>
  </cols>
  <sheetData>
    <row r="2" spans="2:8" ht="28.8" customHeight="1">
      <c r="B2" s="454" t="s">
        <v>378</v>
      </c>
      <c r="C2" s="454"/>
      <c r="D2" s="454"/>
      <c r="E2" s="454"/>
      <c r="F2" s="454"/>
      <c r="G2" s="454"/>
      <c r="H2" s="454"/>
    </row>
    <row r="3" spans="2:8" ht="5.4" customHeight="1"/>
    <row r="4" spans="2:8" s="162" customFormat="1">
      <c r="B4" s="163" t="s">
        <v>211</v>
      </c>
      <c r="C4" s="164" t="s">
        <v>379</v>
      </c>
      <c r="D4" s="164" t="s">
        <v>0</v>
      </c>
      <c r="E4" s="164" t="s">
        <v>380</v>
      </c>
      <c r="F4" s="165" t="s">
        <v>381</v>
      </c>
      <c r="G4" s="165"/>
      <c r="H4" s="170" t="s">
        <v>382</v>
      </c>
    </row>
    <row r="5" spans="2:8" ht="7.2" customHeight="1"/>
    <row r="6" spans="2:8" ht="6.6" customHeight="1">
      <c r="C6" s="166"/>
    </row>
    <row r="7" spans="2:8">
      <c r="B7" s="160" t="s">
        <v>206</v>
      </c>
      <c r="C7" s="167" t="s">
        <v>184</v>
      </c>
      <c r="D7" s="214" t="str">
        <f>IFERROR(VLOOKUP(E7,'PLANO DE CONTAS'!$C$6:$D$127,2,0),"")</f>
        <v>2.3.1.02</v>
      </c>
      <c r="E7" s="158" t="s">
        <v>121</v>
      </c>
      <c r="F7" s="168">
        <v>100000</v>
      </c>
      <c r="G7" s="168"/>
      <c r="H7" s="453" t="s">
        <v>377</v>
      </c>
    </row>
    <row r="8" spans="2:8" ht="31.2" customHeight="1">
      <c r="C8" s="161" t="s">
        <v>185</v>
      </c>
      <c r="D8" s="214" t="str">
        <f>IFERROR(VLOOKUP(E8,'PLANO DE CONTAS'!$C$6:$D$127,2,0),"")</f>
        <v>2.3.1.01</v>
      </c>
      <c r="E8" s="158" t="s">
        <v>119</v>
      </c>
      <c r="F8" s="168">
        <v>100000</v>
      </c>
      <c r="G8" s="168"/>
      <c r="H8" s="453"/>
    </row>
    <row r="9" spans="2:8">
      <c r="D9" s="214" t="str">
        <f>IFERROR(VLOOKUP(E9,'PLANO DE CONTAS'!$C$6:$D$127,2,0),"")</f>
        <v/>
      </c>
    </row>
    <row r="10" spans="2:8">
      <c r="B10" s="160" t="s">
        <v>207</v>
      </c>
      <c r="C10" s="167" t="s">
        <v>184</v>
      </c>
      <c r="D10" s="214" t="str">
        <f>IFERROR(VLOOKUP(E10,'PLANO DE CONTAS'!$C$6:$D$127,2,0),"")</f>
        <v>1.1.1.02</v>
      </c>
      <c r="E10" s="158" t="s">
        <v>9</v>
      </c>
      <c r="F10" s="168">
        <v>100000</v>
      </c>
      <c r="G10" s="168"/>
      <c r="H10" s="453" t="s">
        <v>235</v>
      </c>
    </row>
    <row r="11" spans="2:8" ht="20.399999999999999" customHeight="1">
      <c r="C11" s="161" t="s">
        <v>185</v>
      </c>
      <c r="D11" s="214" t="str">
        <f>IFERROR(VLOOKUP(E11,'PLANO DE CONTAS'!$C$6:$D$127,2,0),"")</f>
        <v>2.3.1.02</v>
      </c>
      <c r="E11" s="158" t="s">
        <v>121</v>
      </c>
      <c r="F11" s="168">
        <v>100000</v>
      </c>
      <c r="G11" s="168"/>
      <c r="H11" s="453"/>
    </row>
    <row r="12" spans="2:8">
      <c r="D12" s="214" t="str">
        <f>IFERROR(VLOOKUP(E12,'PLANO DE CONTAS'!$C$6:$D$127,2,0),"")</f>
        <v/>
      </c>
    </row>
    <row r="13" spans="2:8">
      <c r="B13" s="160" t="s">
        <v>209</v>
      </c>
      <c r="C13" s="167" t="s">
        <v>184</v>
      </c>
      <c r="D13" s="214" t="str">
        <f>IFERROR(VLOOKUP(E13,'PLANO DE CONTAS'!$C$6:$D$127,2,0),"")</f>
        <v>1.1.1.01</v>
      </c>
      <c r="E13" s="158" t="s">
        <v>7</v>
      </c>
      <c r="F13" s="168">
        <v>3000</v>
      </c>
      <c r="H13" s="453" t="s">
        <v>392</v>
      </c>
    </row>
    <row r="14" spans="2:8">
      <c r="C14" s="161" t="s">
        <v>185</v>
      </c>
      <c r="D14" s="214" t="str">
        <f>IFERROR(VLOOKUP(E14,'PLANO DE CONTAS'!$C$6:$D$127,2,0),"")</f>
        <v>1.1.1.02</v>
      </c>
      <c r="E14" s="158" t="s">
        <v>9</v>
      </c>
      <c r="F14" s="168">
        <v>3000</v>
      </c>
      <c r="H14" s="453"/>
    </row>
    <row r="15" spans="2:8">
      <c r="D15" s="214" t="str">
        <f>IFERROR(VLOOKUP(E15,'PLANO DE CONTAS'!$C$6:$D$127,2,0),"")</f>
        <v/>
      </c>
    </row>
    <row r="16" spans="2:8" ht="21.6" customHeight="1">
      <c r="B16" s="160" t="s">
        <v>210</v>
      </c>
      <c r="C16" s="167" t="s">
        <v>184</v>
      </c>
      <c r="D16" s="214" t="str">
        <f>IFERROR(VLOOKUP(E16,'PLANO DE CONTAS'!$C$6:$D$127,2,0),"")</f>
        <v>1.1.4.04</v>
      </c>
      <c r="E16" s="158" t="s">
        <v>386</v>
      </c>
      <c r="F16" s="168">
        <v>12000</v>
      </c>
      <c r="H16" s="453" t="s">
        <v>384</v>
      </c>
    </row>
    <row r="17" spans="2:8" ht="24" customHeight="1">
      <c r="C17" s="161" t="s">
        <v>185</v>
      </c>
      <c r="D17" s="214" t="str">
        <f>IFERROR(VLOOKUP(E17,'PLANO DE CONTAS'!$C$6:$D$127,2,0),"")</f>
        <v>2.1.5.03</v>
      </c>
      <c r="E17" s="158" t="s">
        <v>96</v>
      </c>
      <c r="F17" s="168">
        <v>12000</v>
      </c>
      <c r="H17" s="453"/>
    </row>
    <row r="18" spans="2:8">
      <c r="D18" s="214" t="str">
        <f>IFERROR(VLOOKUP(E18,'PLANO DE CONTAS'!$C$6:$D$127,2,0),"")</f>
        <v/>
      </c>
    </row>
    <row r="19" spans="2:8" ht="17.399999999999999" customHeight="1">
      <c r="B19" s="160" t="s">
        <v>212</v>
      </c>
      <c r="C19" s="167" t="s">
        <v>184</v>
      </c>
      <c r="D19" s="214" t="str">
        <f>IFERROR(VLOOKUP(E19,'PLANO DE CONTAS'!$C$6:$D$127,2,0),"")</f>
        <v>2.1.5.03</v>
      </c>
      <c r="E19" s="158" t="s">
        <v>96</v>
      </c>
      <c r="F19" s="168">
        <v>6000</v>
      </c>
      <c r="H19" s="453" t="s">
        <v>567</v>
      </c>
    </row>
    <row r="20" spans="2:8" ht="17.399999999999999" customHeight="1">
      <c r="C20" s="161" t="s">
        <v>185</v>
      </c>
      <c r="D20" s="214" t="str">
        <f>IFERROR(VLOOKUP(E20,'PLANO DE CONTAS'!$C$6:$D$127,2,0),"")</f>
        <v>2.1.3.08</v>
      </c>
      <c r="E20" s="158" t="s">
        <v>566</v>
      </c>
      <c r="F20" s="168">
        <v>780.64</v>
      </c>
      <c r="H20" s="453"/>
    </row>
    <row r="21" spans="2:8">
      <c r="C21" s="161" t="s">
        <v>185</v>
      </c>
      <c r="D21" s="214" t="str">
        <f>IFERROR(VLOOKUP(E21,'PLANO DE CONTAS'!$C$6:$D$127,2,0),"")</f>
        <v>1.1.1.02</v>
      </c>
      <c r="E21" s="158" t="s">
        <v>9</v>
      </c>
      <c r="F21" s="168">
        <f>F19-F20</f>
        <v>5219.3599999999997</v>
      </c>
      <c r="H21" s="453"/>
    </row>
    <row r="22" spans="2:8">
      <c r="D22" s="214" t="str">
        <f>IFERROR(VLOOKUP(E22,'PLANO DE CONTAS'!$C$6:$D$127,2,0),"")</f>
        <v/>
      </c>
    </row>
    <row r="23" spans="2:8">
      <c r="B23" s="160" t="s">
        <v>213</v>
      </c>
      <c r="C23" s="167" t="s">
        <v>184</v>
      </c>
      <c r="D23" s="214" t="str">
        <f>IFERROR(VLOOKUP(E23,'PLANO DE CONTAS'!$C$6:$D$127,2,0),"")</f>
        <v>1.3.3.05</v>
      </c>
      <c r="E23" s="158" t="s">
        <v>54</v>
      </c>
      <c r="F23" s="168">
        <f>3000-330</f>
        <v>2670</v>
      </c>
      <c r="H23" s="453" t="s">
        <v>387</v>
      </c>
    </row>
    <row r="24" spans="2:8" ht="19.8" customHeight="1">
      <c r="C24" s="167" t="s">
        <v>184</v>
      </c>
      <c r="D24" s="214" t="str">
        <f>IFERROR(VLOOKUP(E24,'PLANO DE CONTAS'!$C$6:$D$127,2,0),"")</f>
        <v>1.1.4.02</v>
      </c>
      <c r="E24" s="158" t="s">
        <v>294</v>
      </c>
      <c r="F24" s="168">
        <f>(F25+F26)*11%</f>
        <v>330</v>
      </c>
      <c r="H24" s="453"/>
    </row>
    <row r="25" spans="2:8">
      <c r="C25" s="161" t="s">
        <v>185</v>
      </c>
      <c r="D25" s="214" t="str">
        <f>IFERROR(VLOOKUP(E25,'PLANO DE CONTAS'!$C$6:$D$127,2,0),"")</f>
        <v>1.1.1.02</v>
      </c>
      <c r="E25" s="158" t="s">
        <v>9</v>
      </c>
      <c r="F25" s="168">
        <v>2000</v>
      </c>
      <c r="H25" s="453"/>
    </row>
    <row r="26" spans="2:8" ht="15" customHeight="1">
      <c r="C26" s="161" t="s">
        <v>185</v>
      </c>
      <c r="D26" s="214" t="str">
        <f>IFERROR(VLOOKUP(E26,'PLANO DE CONTAS'!$C$6:$D$127,2,0),"")</f>
        <v>2.1.1.01</v>
      </c>
      <c r="E26" s="158" t="s">
        <v>69</v>
      </c>
      <c r="F26" s="168">
        <v>1000</v>
      </c>
      <c r="H26" s="453"/>
    </row>
    <row r="27" spans="2:8" ht="15" customHeight="1">
      <c r="D27" s="214" t="str">
        <f>IFERROR(VLOOKUP(E27,'PLANO DE CONTAS'!$C$6:$D$127,2,0),"")</f>
        <v/>
      </c>
    </row>
    <row r="28" spans="2:8">
      <c r="B28" s="160" t="s">
        <v>214</v>
      </c>
      <c r="C28" s="167" t="s">
        <v>184</v>
      </c>
      <c r="D28" s="214" t="str">
        <f>IFERROR(VLOOKUP(E28,'PLANO DE CONTAS'!$C$6:$D$127,2,0),"")</f>
        <v>1.1.3.01</v>
      </c>
      <c r="E28" s="158" t="s">
        <v>19</v>
      </c>
      <c r="F28" s="168">
        <f>F30-F29</f>
        <v>74400</v>
      </c>
      <c r="H28" s="453" t="s">
        <v>548</v>
      </c>
    </row>
    <row r="29" spans="2:8">
      <c r="C29" s="167" t="s">
        <v>184</v>
      </c>
      <c r="D29" s="214" t="str">
        <f>IFERROR(VLOOKUP(E29,'PLANO DE CONTAS'!$C$6:$D$127,2,0),"")</f>
        <v>1.1.4.02</v>
      </c>
      <c r="E29" s="158" t="s">
        <v>294</v>
      </c>
      <c r="F29" s="168">
        <f>F30*7%</f>
        <v>5600.0000000000009</v>
      </c>
      <c r="H29" s="453"/>
    </row>
    <row r="30" spans="2:8">
      <c r="C30" s="161" t="s">
        <v>185</v>
      </c>
      <c r="D30" s="214" t="str">
        <f>IFERROR(VLOOKUP(E30,'PLANO DE CONTAS'!$C$6:$D$127,2,0),"")</f>
        <v>2.1.1.01</v>
      </c>
      <c r="E30" s="158" t="s">
        <v>69</v>
      </c>
      <c r="F30" s="168">
        <v>80000</v>
      </c>
    </row>
    <row r="31" spans="2:8" ht="15" customHeight="1">
      <c r="B31" s="158"/>
      <c r="D31" s="214" t="str">
        <f>IFERROR(VLOOKUP(E31,'PLANO DE CONTAS'!$C$6:$D$127,2,0),"")</f>
        <v/>
      </c>
    </row>
    <row r="32" spans="2:8">
      <c r="B32" s="160" t="s">
        <v>215</v>
      </c>
      <c r="C32" s="167" t="s">
        <v>184</v>
      </c>
      <c r="D32" s="214" t="str">
        <f>IFERROR(VLOOKUP(E32,'PLANO DE CONTAS'!$C$6:$D$127,2,0),"")</f>
        <v>1.1.2.01</v>
      </c>
      <c r="E32" s="158" t="s">
        <v>13</v>
      </c>
      <c r="F32" s="168">
        <v>60000</v>
      </c>
      <c r="H32" s="453" t="s">
        <v>547</v>
      </c>
    </row>
    <row r="33" spans="2:8">
      <c r="C33" s="161" t="s">
        <v>185</v>
      </c>
      <c r="D33" s="214" t="str">
        <f>IFERROR(VLOOKUP(E33,'PLANO DE CONTAS'!$C$6:$D$127,2,0),"")</f>
        <v>3.1.1.02</v>
      </c>
      <c r="E33" s="158" t="s">
        <v>142</v>
      </c>
      <c r="F33" s="168">
        <f>F32</f>
        <v>60000</v>
      </c>
      <c r="H33" s="453"/>
    </row>
    <row r="34" spans="2:8">
      <c r="D34" s="214" t="str">
        <f>IFERROR(VLOOKUP(E34,'PLANO DE CONTAS'!$C$6:$D$127,2,0),"")</f>
        <v/>
      </c>
      <c r="H34" s="453"/>
    </row>
    <row r="35" spans="2:8" ht="15" customHeight="1">
      <c r="D35" s="214" t="str">
        <f>IFERROR(VLOOKUP(E35,'PLANO DE CONTAS'!$C$6:$D$127,2,0),"")</f>
        <v/>
      </c>
    </row>
    <row r="36" spans="2:8">
      <c r="B36" s="160" t="s">
        <v>217</v>
      </c>
      <c r="C36" s="167" t="s">
        <v>184</v>
      </c>
      <c r="D36" s="214" t="str">
        <f>IFERROR(VLOOKUP(E36,'PLANO DE CONTAS'!$C$6:$D$127,2,0),"")</f>
        <v>1.1.1.02</v>
      </c>
      <c r="E36" s="158" t="s">
        <v>9</v>
      </c>
      <c r="F36" s="168">
        <v>3000</v>
      </c>
      <c r="H36" s="453" t="s">
        <v>391</v>
      </c>
    </row>
    <row r="37" spans="2:8">
      <c r="C37" s="161" t="s">
        <v>185</v>
      </c>
      <c r="D37" s="214" t="str">
        <f>IFERROR(VLOOKUP(E37,'PLANO DE CONTAS'!$C$6:$D$127,2,0),"")</f>
        <v>3.1.1.03</v>
      </c>
      <c r="E37" s="158" t="s">
        <v>568</v>
      </c>
      <c r="F37" s="168">
        <f>F36</f>
        <v>3000</v>
      </c>
      <c r="H37" s="453"/>
    </row>
    <row r="38" spans="2:8">
      <c r="D38" s="214" t="str">
        <f>IFERROR(VLOOKUP(E38,'PLANO DE CONTAS'!$C$6:$D$127,2,0),"")</f>
        <v/>
      </c>
    </row>
    <row r="39" spans="2:8">
      <c r="B39" s="160" t="s">
        <v>218</v>
      </c>
      <c r="C39" s="167" t="s">
        <v>184</v>
      </c>
      <c r="D39" s="214" t="str">
        <f>IFERROR(VLOOKUP(E39,'PLANO DE CONTAS'!$C$6:$D$127,2,0),"")</f>
        <v>3.2.3.01</v>
      </c>
      <c r="E39" s="158" t="s">
        <v>587</v>
      </c>
      <c r="F39" s="168">
        <v>3000</v>
      </c>
      <c r="H39" s="453" t="s">
        <v>496</v>
      </c>
    </row>
    <row r="40" spans="2:8">
      <c r="C40" s="161" t="s">
        <v>185</v>
      </c>
      <c r="D40" s="214" t="str">
        <f>IFERROR(VLOOKUP(E40,'PLANO DE CONTAS'!$C$6:$D$127,2,0),"")</f>
        <v>2.1.4.03</v>
      </c>
      <c r="E40" s="158" t="s">
        <v>393</v>
      </c>
      <c r="F40" s="168">
        <v>240</v>
      </c>
      <c r="H40" s="453"/>
    </row>
    <row r="41" spans="2:8">
      <c r="C41" s="161" t="s">
        <v>185</v>
      </c>
      <c r="D41" s="214" t="str">
        <f>IFERROR(VLOOKUP(E41,'PLANO DE CONTAS'!$C$6:$D$127,2,0),"")</f>
        <v>2.1.4.04</v>
      </c>
      <c r="E41" s="158" t="s">
        <v>220</v>
      </c>
      <c r="F41" s="159">
        <v>115</v>
      </c>
      <c r="H41" s="453"/>
    </row>
    <row r="42" spans="2:8" ht="15" customHeight="1">
      <c r="B42" s="158"/>
      <c r="C42" s="161" t="s">
        <v>185</v>
      </c>
      <c r="D42" s="214" t="str">
        <f>IFERROR(VLOOKUP(E42,'PLANO DE CONTAS'!$C$6:$D$127,2,0),"")</f>
        <v>2.1.4.01</v>
      </c>
      <c r="E42" s="158" t="s">
        <v>86</v>
      </c>
      <c r="F42" s="159">
        <f>F39-F40-F41</f>
        <v>2645</v>
      </c>
      <c r="H42" s="453"/>
    </row>
    <row r="43" spans="2:8" ht="18" customHeight="1">
      <c r="D43" s="214" t="str">
        <f>IFERROR(VLOOKUP(E43,'PLANO DE CONTAS'!$C$6:$D$127,2,0),"")</f>
        <v/>
      </c>
    </row>
    <row r="44" spans="2:8">
      <c r="B44" s="160" t="s">
        <v>223</v>
      </c>
      <c r="C44" s="167" t="s">
        <v>184</v>
      </c>
      <c r="D44" s="214" t="str">
        <f>IFERROR(VLOOKUP(E44,'PLANO DE CONTAS'!$C$6:$D$127,2,0),"")</f>
        <v>3.2.3.03</v>
      </c>
      <c r="E44" s="158" t="s">
        <v>590</v>
      </c>
      <c r="F44" s="168">
        <v>240</v>
      </c>
      <c r="H44" s="453" t="s">
        <v>202</v>
      </c>
    </row>
    <row r="45" spans="2:8" ht="18.600000000000001" customHeight="1">
      <c r="C45" s="161" t="s">
        <v>185</v>
      </c>
      <c r="D45" s="214" t="str">
        <f>IFERROR(VLOOKUP(E45,'PLANO DE CONTAS'!$C$6:$D$127,2,0),"")</f>
        <v>2.1.4.02</v>
      </c>
      <c r="E45" s="158" t="s">
        <v>394</v>
      </c>
      <c r="F45" s="168">
        <v>240</v>
      </c>
      <c r="H45" s="453"/>
    </row>
    <row r="46" spans="2:8">
      <c r="D46" s="214" t="str">
        <f>IFERROR(VLOOKUP(E46,'PLANO DE CONTAS'!$C$6:$D$127,2,0),"")</f>
        <v/>
      </c>
    </row>
    <row r="47" spans="2:8">
      <c r="B47" s="160" t="s">
        <v>224</v>
      </c>
      <c r="C47" s="167" t="s">
        <v>184</v>
      </c>
      <c r="D47" s="214" t="str">
        <f>IFERROR(VLOOKUP(E47,'PLANO DE CONTAS'!$C$6:$D$127,2,0),"")</f>
        <v>3.2.3.02</v>
      </c>
      <c r="E47" s="158" t="s">
        <v>588</v>
      </c>
      <c r="F47" s="168">
        <f>1074-240</f>
        <v>834</v>
      </c>
      <c r="H47" s="453" t="s">
        <v>549</v>
      </c>
    </row>
    <row r="48" spans="2:8">
      <c r="C48" s="161" t="s">
        <v>185</v>
      </c>
      <c r="D48" s="214" t="str">
        <f>IFERROR(VLOOKUP(E48,'PLANO DE CONTAS'!$C$6:$D$127,2,0),"")</f>
        <v>2.1.4.03</v>
      </c>
      <c r="E48" s="158" t="s">
        <v>393</v>
      </c>
      <c r="F48" s="168">
        <f>F47</f>
        <v>834</v>
      </c>
      <c r="H48" s="453"/>
    </row>
    <row r="49" spans="2:8">
      <c r="B49" s="158"/>
      <c r="D49" s="214" t="str">
        <f>IFERROR(VLOOKUP(E49,'PLANO DE CONTAS'!$C$6:$D$127,2,0),"")</f>
        <v/>
      </c>
    </row>
    <row r="50" spans="2:8">
      <c r="B50" s="160" t="s">
        <v>225</v>
      </c>
      <c r="C50" s="167" t="s">
        <v>184</v>
      </c>
      <c r="D50" s="214" t="str">
        <f>IFERROR(VLOOKUP(E50,'PLANO DE CONTAS'!$C$6:$D$127,2,0),"")</f>
        <v>3.1.1.04</v>
      </c>
      <c r="E50" s="158" t="s">
        <v>572</v>
      </c>
      <c r="F50" s="159">
        <f>F37*5%</f>
        <v>150</v>
      </c>
      <c r="H50" s="453" t="s">
        <v>550</v>
      </c>
    </row>
    <row r="51" spans="2:8" ht="19.8" customHeight="1">
      <c r="B51" s="158"/>
      <c r="C51" s="161" t="s">
        <v>185</v>
      </c>
      <c r="D51" s="214" t="str">
        <f>IFERROR(VLOOKUP(E51,'PLANO DE CONTAS'!$C$6:$D$127,2,0),"")</f>
        <v>2.1.3.03</v>
      </c>
      <c r="E51" s="158" t="s">
        <v>655</v>
      </c>
      <c r="F51" s="159">
        <f>F50</f>
        <v>150</v>
      </c>
      <c r="H51" s="453"/>
    </row>
    <row r="52" spans="2:8">
      <c r="C52" s="167" t="s">
        <v>184</v>
      </c>
      <c r="D52" s="214" t="str">
        <f>IFERROR(VLOOKUP(E52,'PLANO DE CONTAS'!$C$6:$D$127,2,0),"")</f>
        <v>3.1.1.05</v>
      </c>
      <c r="E52" s="158" t="s">
        <v>573</v>
      </c>
      <c r="F52" s="159">
        <f>F33*18%</f>
        <v>10800</v>
      </c>
      <c r="H52" s="453"/>
    </row>
    <row r="53" spans="2:8" ht="15" customHeight="1">
      <c r="C53" s="161" t="s">
        <v>185</v>
      </c>
      <c r="D53" s="214" t="str">
        <f>IFERROR(VLOOKUP(E53,'PLANO DE CONTAS'!$C$6:$D$127,2,0),"")</f>
        <v>2.1.3.02</v>
      </c>
      <c r="E53" s="158" t="s">
        <v>81</v>
      </c>
      <c r="F53" s="159">
        <f>F52</f>
        <v>10800</v>
      </c>
      <c r="H53" s="453"/>
    </row>
    <row r="54" spans="2:8" ht="15" customHeight="1">
      <c r="C54" s="167" t="s">
        <v>184</v>
      </c>
      <c r="D54" s="214" t="str">
        <f>IFERROR(VLOOKUP(E54,'PLANO DE CONTAS'!$C$6:$D$127,2,0),"")</f>
        <v>3.1.1.06</v>
      </c>
      <c r="E54" s="158" t="s">
        <v>574</v>
      </c>
      <c r="F54" s="159">
        <f>(F33+F37)*0.65%</f>
        <v>409.50000000000006</v>
      </c>
      <c r="H54" s="453"/>
    </row>
    <row r="55" spans="2:8" ht="15" customHeight="1">
      <c r="C55" s="161" t="s">
        <v>185</v>
      </c>
      <c r="D55" s="214" t="str">
        <f>IFERROR(VLOOKUP(E55,'PLANO DE CONTAS'!$C$6:$D$127,2,0),"")</f>
        <v>2.1.3.04</v>
      </c>
      <c r="E55" s="158" t="s">
        <v>228</v>
      </c>
      <c r="F55" s="159">
        <f>F54</f>
        <v>409.50000000000006</v>
      </c>
      <c r="H55" s="453"/>
    </row>
    <row r="56" spans="2:8" ht="15" customHeight="1">
      <c r="C56" s="167" t="s">
        <v>184</v>
      </c>
      <c r="D56" s="214" t="str">
        <f>IFERROR(VLOOKUP(E56,'PLANO DE CONTAS'!$C$6:$D$127,2,0),"")</f>
        <v>3.1.1.07</v>
      </c>
      <c r="E56" s="158" t="s">
        <v>575</v>
      </c>
      <c r="F56" s="159">
        <f>(F33+F37)*3%</f>
        <v>1890</v>
      </c>
      <c r="H56" s="453"/>
    </row>
    <row r="57" spans="2:8">
      <c r="C57" s="161" t="s">
        <v>185</v>
      </c>
      <c r="D57" s="214" t="str">
        <f>IFERROR(VLOOKUP(E57,'PLANO DE CONTAS'!$C$6:$D$127,2,0),"")</f>
        <v>2.1.3.05</v>
      </c>
      <c r="E57" s="158" t="s">
        <v>229</v>
      </c>
      <c r="F57" s="159">
        <f>F56</f>
        <v>1890</v>
      </c>
      <c r="H57" s="453"/>
    </row>
    <row r="58" spans="2:8">
      <c r="D58" s="214" t="str">
        <f>IFERROR(VLOOKUP(E58,'PLANO DE CONTAS'!$C$6:$D$127,2,0),"")</f>
        <v/>
      </c>
    </row>
    <row r="59" spans="2:8">
      <c r="B59" s="160" t="s">
        <v>226</v>
      </c>
      <c r="C59" s="167" t="s">
        <v>184</v>
      </c>
      <c r="D59" s="214" t="str">
        <f>IFERROR(VLOOKUP(E59,'PLANO DE CONTAS'!$C$6:$D$127,2,0),"")</f>
        <v>2.1.3.02</v>
      </c>
      <c r="E59" s="158" t="s">
        <v>81</v>
      </c>
      <c r="F59" s="159">
        <f>F60</f>
        <v>5606.8750000000009</v>
      </c>
      <c r="H59" s="453" t="s">
        <v>551</v>
      </c>
    </row>
    <row r="60" spans="2:8">
      <c r="C60" s="161" t="s">
        <v>185</v>
      </c>
      <c r="D60" s="214" t="str">
        <f>IFERROR(VLOOKUP(E60,'PLANO DE CONTAS'!$C$6:$D$127,2,0),"")</f>
        <v>1.1.4.02</v>
      </c>
      <c r="E60" s="158" t="s">
        <v>294</v>
      </c>
      <c r="F60" s="159">
        <f>(F24/48)+F29</f>
        <v>5606.8750000000009</v>
      </c>
      <c r="H60" s="453"/>
    </row>
    <row r="61" spans="2:8">
      <c r="D61" s="214" t="str">
        <f>IFERROR(VLOOKUP(E61,'PLANO DE CONTAS'!$C$6:$D$127,2,0),"")</f>
        <v/>
      </c>
      <c r="H61" s="212"/>
    </row>
    <row r="62" spans="2:8">
      <c r="B62" s="160" t="s">
        <v>595</v>
      </c>
      <c r="C62" s="167" t="s">
        <v>184</v>
      </c>
      <c r="D62" s="214" t="str">
        <f>IFERROR(VLOOKUP(E62,'PLANO DE CONTAS'!$C$6:$D$127,2,0),"")</f>
        <v>3.2.4.02</v>
      </c>
      <c r="E62" s="158" t="s">
        <v>596</v>
      </c>
      <c r="F62" s="159">
        <v>80.64</v>
      </c>
      <c r="H62" s="453" t="s">
        <v>597</v>
      </c>
    </row>
    <row r="63" spans="2:8">
      <c r="C63" s="161" t="s">
        <v>185</v>
      </c>
      <c r="D63" s="214" t="str">
        <f>IFERROR(VLOOKUP(E63,'PLANO DE CONTAS'!$C$6:$D$127,2,0),"")</f>
        <v>1.1.1.02</v>
      </c>
      <c r="E63" s="158" t="s">
        <v>9</v>
      </c>
      <c r="F63" s="159">
        <f>F62</f>
        <v>80.64</v>
      </c>
      <c r="H63" s="453"/>
    </row>
    <row r="64" spans="2:8">
      <c r="C64" s="167"/>
      <c r="D64" s="207"/>
      <c r="E64" s="167"/>
    </row>
    <row r="65" spans="2:8">
      <c r="B65" s="185"/>
      <c r="C65" s="186"/>
      <c r="D65" s="214" t="str">
        <f>IFERROR(VLOOKUP(E65,'PLANO DE CONTAS'!$C$6:$D$127,2,0),"")</f>
        <v/>
      </c>
      <c r="E65" s="187"/>
      <c r="F65" s="188"/>
      <c r="G65" s="188"/>
      <c r="H65" s="189"/>
    </row>
    <row r="66" spans="2:8">
      <c r="B66" s="160" t="s">
        <v>227</v>
      </c>
      <c r="C66" s="167" t="s">
        <v>184</v>
      </c>
      <c r="D66" s="214" t="str">
        <f>IFERROR(VLOOKUP(E66,'PLANO DE CONTAS'!$C$6:$D$128,2,0),"")</f>
        <v>2.1.4.01</v>
      </c>
      <c r="E66" s="158" t="s">
        <v>86</v>
      </c>
      <c r="F66" s="168">
        <v>2645</v>
      </c>
      <c r="H66" s="453" t="s">
        <v>503</v>
      </c>
    </row>
    <row r="67" spans="2:8">
      <c r="C67" s="161" t="s">
        <v>185</v>
      </c>
      <c r="D67" s="214" t="str">
        <f>IFERROR(VLOOKUP(E67,'PLANO DE CONTAS'!$C$6:$D$128,2,0),"")</f>
        <v>1.1.1.02</v>
      </c>
      <c r="E67" s="158" t="s">
        <v>9</v>
      </c>
      <c r="F67" s="168">
        <f>F66</f>
        <v>2645</v>
      </c>
      <c r="H67" s="453"/>
    </row>
    <row r="68" spans="2:8">
      <c r="D68" s="214" t="str">
        <f>IFERROR(VLOOKUP(E68,'PLANO DE CONTAS'!$C$6:$D$128,2,0),"")</f>
        <v/>
      </c>
    </row>
    <row r="69" spans="2:8" ht="15" customHeight="1">
      <c r="B69" s="160" t="s">
        <v>402</v>
      </c>
      <c r="C69" s="167" t="s">
        <v>184</v>
      </c>
      <c r="D69" s="214" t="str">
        <f>IFERROR(VLOOKUP(E69,'PLANO DE CONTAS'!$C$6:$D$128,2,0),"")</f>
        <v>1.1.3.01</v>
      </c>
      <c r="E69" s="158" t="s">
        <v>19</v>
      </c>
      <c r="F69" s="168">
        <f>F71-F70</f>
        <v>66000</v>
      </c>
      <c r="H69" s="453" t="s">
        <v>497</v>
      </c>
    </row>
    <row r="70" spans="2:8">
      <c r="C70" s="167" t="s">
        <v>184</v>
      </c>
      <c r="D70" s="214" t="str">
        <f>IFERROR(VLOOKUP(E70,'PLANO DE CONTAS'!$C$6:$D$128,2,0),"")</f>
        <v>1.1.4.02</v>
      </c>
      <c r="E70" s="158" t="s">
        <v>294</v>
      </c>
      <c r="F70" s="168">
        <f>F71*12%</f>
        <v>9000</v>
      </c>
      <c r="H70" s="453"/>
    </row>
    <row r="71" spans="2:8">
      <c r="C71" s="161" t="s">
        <v>185</v>
      </c>
      <c r="D71" s="214" t="str">
        <f>IFERROR(VLOOKUP(E71,'PLANO DE CONTAS'!$C$6:$D$128,2,0),"")</f>
        <v>2.1.1.01</v>
      </c>
      <c r="E71" s="158" t="s">
        <v>69</v>
      </c>
      <c r="F71" s="159">
        <v>75000</v>
      </c>
      <c r="H71" s="453"/>
    </row>
    <row r="72" spans="2:8">
      <c r="D72" s="214" t="str">
        <f>IFERROR(VLOOKUP(E72,'PLANO DE CONTAS'!$C$6:$D$128,2,0),"")</f>
        <v/>
      </c>
    </row>
    <row r="73" spans="2:8">
      <c r="B73" s="160" t="s">
        <v>403</v>
      </c>
      <c r="C73" s="167" t="s">
        <v>184</v>
      </c>
      <c r="D73" s="214" t="str">
        <f>IFERROR(VLOOKUP(E73,'PLANO DE CONTAS'!$C$6:$D$128,2,0),"")</f>
        <v>3.2.2.01</v>
      </c>
      <c r="E73" s="158" t="s">
        <v>579</v>
      </c>
      <c r="F73" s="168">
        <v>1000</v>
      </c>
      <c r="H73" s="453" t="s">
        <v>552</v>
      </c>
    </row>
    <row r="74" spans="2:8">
      <c r="C74" s="161" t="s">
        <v>185</v>
      </c>
      <c r="D74" s="214" t="str">
        <f>IFERROR(VLOOKUP(E74,'PLANO DE CONTAS'!$C$6:$D$128,2,0),"")</f>
        <v>1.1.4.04</v>
      </c>
      <c r="E74" s="158" t="s">
        <v>386</v>
      </c>
      <c r="F74" s="168">
        <v>1000</v>
      </c>
      <c r="H74" s="453"/>
    </row>
    <row r="75" spans="2:8">
      <c r="D75" s="214" t="str">
        <f>IFERROR(VLOOKUP(E75,'PLANO DE CONTAS'!$C$6:$D$128,2,0),"")</f>
        <v/>
      </c>
    </row>
    <row r="76" spans="2:8">
      <c r="B76" s="160" t="s">
        <v>405</v>
      </c>
      <c r="C76" s="167" t="s">
        <v>184</v>
      </c>
      <c r="D76" s="214" t="str">
        <f>IFERROR(VLOOKUP(E76,'PLANO DE CONTAS'!$C$6:$D$128,2,0),"")</f>
        <v>1.3.3.03</v>
      </c>
      <c r="E76" s="158" t="s">
        <v>50</v>
      </c>
      <c r="F76" s="159">
        <f>F78-F77</f>
        <v>4700</v>
      </c>
      <c r="H76" s="453" t="s">
        <v>553</v>
      </c>
    </row>
    <row r="77" spans="2:8">
      <c r="C77" s="167" t="s">
        <v>184</v>
      </c>
      <c r="D77" s="214" t="str">
        <f>IFERROR(VLOOKUP(E77,'PLANO DE CONTAS'!$C$6:$D$128,2,0),"")</f>
        <v>1.1.4.02</v>
      </c>
      <c r="E77" s="158" t="s">
        <v>294</v>
      </c>
      <c r="F77" s="159">
        <f>F78*6%</f>
        <v>300</v>
      </c>
      <c r="H77" s="453"/>
    </row>
    <row r="78" spans="2:8">
      <c r="C78" s="161" t="s">
        <v>185</v>
      </c>
      <c r="D78" s="214" t="str">
        <f>IFERROR(VLOOKUP(E78,'PLANO DE CONTAS'!$C$6:$D$128,2,0),"")</f>
        <v>1.1.1.02</v>
      </c>
      <c r="E78" s="158" t="s">
        <v>9</v>
      </c>
      <c r="F78" s="159">
        <v>5000</v>
      </c>
    </row>
    <row r="79" spans="2:8">
      <c r="D79" s="214" t="str">
        <f>IFERROR(VLOOKUP(E79,'PLANO DE CONTAS'!$C$6:$D$128,2,0),"")</f>
        <v/>
      </c>
    </row>
    <row r="80" spans="2:8" ht="15" customHeight="1">
      <c r="B80" s="160" t="s">
        <v>406</v>
      </c>
      <c r="C80" s="167" t="s">
        <v>184</v>
      </c>
      <c r="D80" s="214" t="str">
        <f>IFERROR(VLOOKUP(E80,'PLANO DE CONTAS'!$C$6:$D$128,2,0),"")</f>
        <v>1.1.2.01</v>
      </c>
      <c r="E80" s="158" t="s">
        <v>13</v>
      </c>
      <c r="F80" s="159">
        <v>90000</v>
      </c>
      <c r="H80" s="453" t="s">
        <v>409</v>
      </c>
    </row>
    <row r="81" spans="2:8" ht="32.4" customHeight="1">
      <c r="C81" s="161" t="s">
        <v>185</v>
      </c>
      <c r="D81" s="214" t="str">
        <f>IFERROR(VLOOKUP(E81,'PLANO DE CONTAS'!$C$6:$D$128,2,0),"")</f>
        <v>3.1.1.02</v>
      </c>
      <c r="E81" s="158" t="s">
        <v>142</v>
      </c>
      <c r="F81" s="159">
        <f>F80</f>
        <v>90000</v>
      </c>
      <c r="H81" s="453"/>
    </row>
    <row r="82" spans="2:8">
      <c r="D82" s="214" t="str">
        <f>IFERROR(VLOOKUP(E82,'PLANO DE CONTAS'!$C$6:$D$128,2,0),"")</f>
        <v/>
      </c>
    </row>
    <row r="83" spans="2:8" ht="15" customHeight="1">
      <c r="B83" s="160" t="s">
        <v>407</v>
      </c>
      <c r="C83" s="167" t="s">
        <v>184</v>
      </c>
      <c r="D83" s="214" t="str">
        <f>IFERROR(VLOOKUP(E83,'PLANO DE CONTAS'!$C$6:$D$128,2,0),"")</f>
        <v>1.1.2.01</v>
      </c>
      <c r="E83" s="158" t="s">
        <v>13</v>
      </c>
      <c r="F83" s="159">
        <v>5000</v>
      </c>
      <c r="H83" s="453" t="s">
        <v>554</v>
      </c>
    </row>
    <row r="84" spans="2:8" ht="30" customHeight="1">
      <c r="C84" s="161" t="s">
        <v>185</v>
      </c>
      <c r="D84" s="214" t="str">
        <f>IFERROR(VLOOKUP(E84,'PLANO DE CONTAS'!$C$6:$D$128,2,0),"")</f>
        <v>3.1.1.03</v>
      </c>
      <c r="E84" s="158" t="s">
        <v>568</v>
      </c>
      <c r="F84" s="159">
        <f>F83</f>
        <v>5000</v>
      </c>
      <c r="H84" s="453"/>
    </row>
    <row r="85" spans="2:8">
      <c r="D85" s="214" t="str">
        <f>IFERROR(VLOOKUP(E85,'PLANO DE CONTAS'!$C$6:$D$128,2,0),"")</f>
        <v/>
      </c>
    </row>
    <row r="86" spans="2:8">
      <c r="B86" s="160" t="s">
        <v>408</v>
      </c>
      <c r="C86" s="167" t="s">
        <v>184</v>
      </c>
      <c r="D86" s="214" t="str">
        <f>IFERROR(VLOOKUP(E86,'PLANO DE CONTAS'!$C$6:$D$128,2,0),"")</f>
        <v>2.1.1.01</v>
      </c>
      <c r="E86" s="158" t="s">
        <v>69</v>
      </c>
      <c r="F86" s="159">
        <v>1000</v>
      </c>
      <c r="H86" s="453" t="s">
        <v>411</v>
      </c>
    </row>
    <row r="87" spans="2:8">
      <c r="C87" s="161" t="s">
        <v>185</v>
      </c>
      <c r="D87" s="214" t="str">
        <f>IFERROR(VLOOKUP(E87,'PLANO DE CONTAS'!$C$6:$D$128,2,0),"")</f>
        <v>1.1.1.02</v>
      </c>
      <c r="E87" s="158" t="s">
        <v>9</v>
      </c>
      <c r="F87" s="159">
        <f>F86</f>
        <v>1000</v>
      </c>
      <c r="H87" s="453"/>
    </row>
    <row r="88" spans="2:8">
      <c r="D88" s="214" t="str">
        <f>IFERROR(VLOOKUP(E88,'PLANO DE CONTAS'!$C$6:$D$128,2,0),"")</f>
        <v/>
      </c>
    </row>
    <row r="89" spans="2:8">
      <c r="B89" s="160" t="s">
        <v>410</v>
      </c>
      <c r="C89" s="167" t="s">
        <v>184</v>
      </c>
      <c r="D89" s="214" t="str">
        <f>IFERROR(VLOOKUP(E89,'PLANO DE CONTAS'!$C$6:$D$128,2,0),"")</f>
        <v>3.2.2.02</v>
      </c>
      <c r="E89" s="158" t="s">
        <v>580</v>
      </c>
      <c r="F89" s="159">
        <v>750</v>
      </c>
      <c r="H89" s="453" t="s">
        <v>236</v>
      </c>
    </row>
    <row r="90" spans="2:8">
      <c r="C90" s="161" t="s">
        <v>185</v>
      </c>
      <c r="D90" s="214" t="str">
        <f>IFERROR(VLOOKUP(E90,'PLANO DE CONTAS'!$C$6:$D$128,2,0),"")</f>
        <v>1.1.1.01</v>
      </c>
      <c r="E90" s="158" t="s">
        <v>7</v>
      </c>
      <c r="F90" s="159">
        <f>F89</f>
        <v>750</v>
      </c>
      <c r="H90" s="453"/>
    </row>
    <row r="91" spans="2:8">
      <c r="D91" s="214" t="str">
        <f>IFERROR(VLOOKUP(E91,'PLANO DE CONTAS'!$C$6:$D$128,2,0),"")</f>
        <v/>
      </c>
    </row>
    <row r="92" spans="2:8">
      <c r="B92" s="160" t="s">
        <v>412</v>
      </c>
      <c r="C92" s="167" t="s">
        <v>184</v>
      </c>
      <c r="D92" s="214" t="str">
        <f>IFERROR(VLOOKUP(E92,'PLANO DE CONTAS'!$C$6:$D$128,2,0),"")</f>
        <v>3.2.2.04</v>
      </c>
      <c r="E92" s="158" t="s">
        <v>629</v>
      </c>
      <c r="F92" s="159">
        <v>400</v>
      </c>
      <c r="H92" s="453" t="s">
        <v>237</v>
      </c>
    </row>
    <row r="93" spans="2:8">
      <c r="C93" s="161" t="s">
        <v>185</v>
      </c>
      <c r="D93" s="214" t="str">
        <f>IFERROR(VLOOKUP(E93,'PLANO DE CONTAS'!$C$6:$D$128,2,0),"")</f>
        <v>1.1.1.01</v>
      </c>
      <c r="E93" s="158" t="s">
        <v>7</v>
      </c>
      <c r="F93" s="159">
        <f>F92</f>
        <v>400</v>
      </c>
      <c r="H93" s="453"/>
    </row>
    <row r="94" spans="2:8">
      <c r="D94" s="214" t="str">
        <f>IFERROR(VLOOKUP(E94,'PLANO DE CONTAS'!$C$6:$D$128,2,0),"")</f>
        <v/>
      </c>
    </row>
    <row r="95" spans="2:8">
      <c r="B95" s="160" t="s">
        <v>413</v>
      </c>
      <c r="C95" s="167" t="s">
        <v>184</v>
      </c>
      <c r="D95" s="214" t="str">
        <f>IFERROR(VLOOKUP(E95,'PLANO DE CONTAS'!$C$6:$D$128,2,0),"")</f>
        <v>2.1.4.03</v>
      </c>
      <c r="E95" s="158" t="s">
        <v>393</v>
      </c>
      <c r="F95" s="159">
        <v>1074</v>
      </c>
      <c r="H95" s="453" t="s">
        <v>555</v>
      </c>
    </row>
    <row r="96" spans="2:8">
      <c r="C96" s="161" t="s">
        <v>185</v>
      </c>
      <c r="D96" s="214" t="str">
        <f>IFERROR(VLOOKUP(E96,'PLANO DE CONTAS'!$C$6:$D$128,2,0),"")</f>
        <v>1.1.1.02</v>
      </c>
      <c r="E96" s="158" t="s">
        <v>9</v>
      </c>
      <c r="F96" s="159">
        <f>F95</f>
        <v>1074</v>
      </c>
      <c r="H96" s="453"/>
    </row>
    <row r="97" spans="2:8">
      <c r="D97" s="214" t="str">
        <f>IFERROR(VLOOKUP(E97,'PLANO DE CONTAS'!$C$6:$D$128,2,0),"")</f>
        <v/>
      </c>
    </row>
    <row r="98" spans="2:8">
      <c r="B98" s="160" t="s">
        <v>414</v>
      </c>
      <c r="C98" s="167" t="s">
        <v>184</v>
      </c>
      <c r="D98" s="214" t="str">
        <f>IFERROR(VLOOKUP(E98,'PLANO DE CONTAS'!$C$6:$D$128,2,0),"")</f>
        <v>2.1.4.02</v>
      </c>
      <c r="E98" s="158" t="s">
        <v>394</v>
      </c>
      <c r="F98" s="159">
        <v>240</v>
      </c>
      <c r="H98" s="453" t="s">
        <v>238</v>
      </c>
    </row>
    <row r="99" spans="2:8">
      <c r="C99" s="167" t="s">
        <v>184</v>
      </c>
      <c r="D99" s="214" t="str">
        <f>IFERROR(VLOOKUP(E99,'PLANO DE CONTAS'!$C$6:$D$128,2,0),"")</f>
        <v>3.2.4.01</v>
      </c>
      <c r="E99" s="158" t="s">
        <v>177</v>
      </c>
      <c r="F99" s="159">
        <v>60</v>
      </c>
      <c r="H99" s="453"/>
    </row>
    <row r="100" spans="2:8">
      <c r="C100" s="161" t="s">
        <v>185</v>
      </c>
      <c r="D100" s="214" t="str">
        <f>IFERROR(VLOOKUP(E100,'PLANO DE CONTAS'!$C$6:$D$128,2,0),"")</f>
        <v>1.1.1.02</v>
      </c>
      <c r="E100" s="158" t="s">
        <v>9</v>
      </c>
      <c r="F100" s="159">
        <f>F98+F99</f>
        <v>300</v>
      </c>
      <c r="H100" s="212"/>
    </row>
    <row r="101" spans="2:8">
      <c r="D101" s="214" t="str">
        <f>IFERROR(VLOOKUP(E101,'PLANO DE CONTAS'!$C$6:$D$128,2,0),"")</f>
        <v/>
      </c>
      <c r="H101" s="212"/>
    </row>
    <row r="102" spans="2:8">
      <c r="B102" s="160" t="s">
        <v>415</v>
      </c>
      <c r="C102" s="167" t="s">
        <v>184</v>
      </c>
      <c r="D102" s="214" t="str">
        <f>IFERROR(VLOOKUP(E102,'PLANO DE CONTAS'!$C$6:$D$128,2,0),"")</f>
        <v>2.1.1.01</v>
      </c>
      <c r="E102" s="158" t="s">
        <v>69</v>
      </c>
      <c r="F102" s="159">
        <v>10000</v>
      </c>
      <c r="H102" s="453" t="s">
        <v>396</v>
      </c>
    </row>
    <row r="103" spans="2:8">
      <c r="C103" s="161" t="s">
        <v>185</v>
      </c>
      <c r="D103" s="214" t="str">
        <f>IFERROR(VLOOKUP(E103,'PLANO DE CONTAS'!$C$6:$D$128,2,0),"")</f>
        <v>1.1.1.02</v>
      </c>
      <c r="E103" s="158" t="s">
        <v>9</v>
      </c>
      <c r="F103" s="159">
        <f>F102</f>
        <v>10000</v>
      </c>
      <c r="H103" s="453"/>
    </row>
    <row r="104" spans="2:8">
      <c r="D104" s="214" t="str">
        <f>IFERROR(VLOOKUP(E104,'PLANO DE CONTAS'!$C$6:$D$128,2,0),"")</f>
        <v/>
      </c>
      <c r="H104" s="212"/>
    </row>
    <row r="105" spans="2:8">
      <c r="B105" s="160" t="s">
        <v>416</v>
      </c>
      <c r="C105" s="167" t="s">
        <v>184</v>
      </c>
      <c r="D105" s="214" t="str">
        <f>IFERROR(VLOOKUP(E105,'PLANO DE CONTAS'!$C$6:$D$128,2,0),"")</f>
        <v>3.2.2.03</v>
      </c>
      <c r="E105" s="158" t="s">
        <v>582</v>
      </c>
      <c r="F105" s="159">
        <v>200</v>
      </c>
      <c r="H105" s="453" t="s">
        <v>239</v>
      </c>
    </row>
    <row r="106" spans="2:8">
      <c r="C106" s="161" t="s">
        <v>185</v>
      </c>
      <c r="D106" s="214" t="str">
        <f>IFERROR(VLOOKUP(E106,'PLANO DE CONTAS'!$C$6:$D$128,2,0),"")</f>
        <v>1.1.1.01</v>
      </c>
      <c r="E106" s="158" t="s">
        <v>7</v>
      </c>
      <c r="F106" s="159">
        <f>F105</f>
        <v>200</v>
      </c>
      <c r="H106" s="453"/>
    </row>
    <row r="107" spans="2:8">
      <c r="D107" s="214" t="str">
        <f>IFERROR(VLOOKUP(E107,'PLANO DE CONTAS'!$C$6:$D$128,2,0),"")</f>
        <v/>
      </c>
      <c r="H107" s="212"/>
    </row>
    <row r="108" spans="2:8">
      <c r="B108" s="160" t="s">
        <v>417</v>
      </c>
      <c r="C108" s="167" t="s">
        <v>184</v>
      </c>
      <c r="D108" s="214" t="str">
        <f>IFERROR(VLOOKUP(E108,'PLANO DE CONTAS'!$C$6:$D$128,2,0),"")</f>
        <v>1.1.1.02</v>
      </c>
      <c r="E108" s="158" t="s">
        <v>9</v>
      </c>
      <c r="F108" s="159">
        <v>20000</v>
      </c>
      <c r="H108" s="453" t="s">
        <v>395</v>
      </c>
    </row>
    <row r="109" spans="2:8">
      <c r="C109" s="161" t="s">
        <v>185</v>
      </c>
      <c r="D109" s="214" t="str">
        <f>IFERROR(VLOOKUP(E109,'PLANO DE CONTAS'!$C$6:$D$128,2,0),"")</f>
        <v>1.1.2.01</v>
      </c>
      <c r="E109" s="158" t="s">
        <v>13</v>
      </c>
      <c r="F109" s="159">
        <f>F108</f>
        <v>20000</v>
      </c>
      <c r="H109" s="453"/>
    </row>
    <row r="110" spans="2:8">
      <c r="D110" s="214" t="str">
        <f>IFERROR(VLOOKUP(E110,'PLANO DE CONTAS'!$C$6:$D$128,2,0),"")</f>
        <v/>
      </c>
    </row>
    <row r="111" spans="2:8">
      <c r="B111" s="160" t="s">
        <v>419</v>
      </c>
      <c r="C111" s="167" t="s">
        <v>184</v>
      </c>
      <c r="D111" s="214" t="str">
        <f>IFERROR(VLOOKUP(E111,'PLANO DE CONTAS'!$C$6:$D$128,2,0),"")</f>
        <v>3.2.3.01</v>
      </c>
      <c r="E111" s="158" t="s">
        <v>587</v>
      </c>
      <c r="F111" s="168">
        <v>4000</v>
      </c>
      <c r="H111" s="453" t="s">
        <v>556</v>
      </c>
    </row>
    <row r="112" spans="2:8">
      <c r="C112" s="161" t="s">
        <v>185</v>
      </c>
      <c r="D112" s="214" t="str">
        <f>IFERROR(VLOOKUP(E112,'PLANO DE CONTAS'!$C$6:$D$128,2,0),"")</f>
        <v>2.1.4.03</v>
      </c>
      <c r="E112" s="158" t="s">
        <v>393</v>
      </c>
      <c r="F112" s="168">
        <v>320</v>
      </c>
      <c r="H112" s="453"/>
    </row>
    <row r="113" spans="2:8">
      <c r="C113" s="161" t="s">
        <v>185</v>
      </c>
      <c r="D113" s="214" t="str">
        <f>IFERROR(VLOOKUP(E113,'PLANO DE CONTAS'!$C$6:$D$128,2,0),"")</f>
        <v>2.1.4.04</v>
      </c>
      <c r="E113" s="158" t="s">
        <v>220</v>
      </c>
      <c r="F113" s="159">
        <v>265</v>
      </c>
      <c r="H113" s="453"/>
    </row>
    <row r="114" spans="2:8" ht="15" customHeight="1">
      <c r="C114" s="161" t="s">
        <v>185</v>
      </c>
      <c r="D114" s="214" t="str">
        <f>IFERROR(VLOOKUP(E114,'PLANO DE CONTAS'!$C$6:$D$128,2,0),"")</f>
        <v>2.1.4.01</v>
      </c>
      <c r="E114" s="158" t="s">
        <v>86</v>
      </c>
      <c r="F114" s="159">
        <f>F111-F112-F113</f>
        <v>3415</v>
      </c>
      <c r="H114" s="453"/>
    </row>
    <row r="115" spans="2:8">
      <c r="D115" s="214" t="str">
        <f>IFERROR(VLOOKUP(E115,'PLANO DE CONTAS'!$C$6:$D$128,2,0),"")</f>
        <v/>
      </c>
    </row>
    <row r="116" spans="2:8">
      <c r="B116" s="160" t="s">
        <v>420</v>
      </c>
      <c r="C116" s="167" t="s">
        <v>184</v>
      </c>
      <c r="D116" s="214" t="str">
        <f>IFERROR(VLOOKUP(E116,'PLANO DE CONTAS'!$C$6:$D$128,2,0),"")</f>
        <v>3.2.3.03</v>
      </c>
      <c r="E116" s="158" t="s">
        <v>590</v>
      </c>
      <c r="F116" s="168">
        <v>320</v>
      </c>
      <c r="H116" s="453" t="s">
        <v>204</v>
      </c>
    </row>
    <row r="117" spans="2:8">
      <c r="C117" s="161" t="s">
        <v>185</v>
      </c>
      <c r="D117" s="214" t="str">
        <f>IFERROR(VLOOKUP(E117,'PLANO DE CONTAS'!$C$6:$D$128,2,0),"")</f>
        <v>2.1.4.02</v>
      </c>
      <c r="E117" s="158" t="s">
        <v>394</v>
      </c>
      <c r="F117" s="168">
        <f>F116</f>
        <v>320</v>
      </c>
      <c r="H117" s="453"/>
    </row>
    <row r="118" spans="2:8">
      <c r="D118" s="214"/>
      <c r="F118" s="168"/>
      <c r="H118" s="212"/>
    </row>
    <row r="119" spans="2:8">
      <c r="B119" s="160" t="s">
        <v>421</v>
      </c>
      <c r="C119" s="167" t="s">
        <v>184</v>
      </c>
      <c r="D119" s="214" t="str">
        <f>IFERROR(VLOOKUP(E119,'PLANO DE CONTAS'!$C$6:$D$128,2,0),"")</f>
        <v>3.2.2.05</v>
      </c>
      <c r="E119" s="158" t="s">
        <v>631</v>
      </c>
      <c r="F119" s="168">
        <v>40.049999999999997</v>
      </c>
      <c r="H119" s="453" t="s">
        <v>418</v>
      </c>
    </row>
    <row r="120" spans="2:8">
      <c r="C120" s="161" t="s">
        <v>185</v>
      </c>
      <c r="D120" s="214" t="str">
        <f>IFERROR(VLOOKUP(E120,'PLANO DE CONTAS'!$C$6:$D$128,2,0),"")</f>
        <v>1.3.3.06</v>
      </c>
      <c r="E120" s="158" t="s">
        <v>56</v>
      </c>
      <c r="F120" s="168">
        <f>F119</f>
        <v>40.049999999999997</v>
      </c>
      <c r="H120" s="453"/>
    </row>
    <row r="121" spans="2:8">
      <c r="D121" s="214" t="str">
        <f>IFERROR(VLOOKUP(E121,'PLANO DE CONTAS'!$C$6:$D$128,2,0),"")</f>
        <v/>
      </c>
      <c r="H121" s="212"/>
    </row>
    <row r="122" spans="2:8" ht="15" customHeight="1">
      <c r="B122" s="160" t="s">
        <v>422</v>
      </c>
      <c r="C122" s="167" t="s">
        <v>184</v>
      </c>
      <c r="D122" s="214" t="str">
        <f>IFERROR(VLOOKUP(E122,'PLANO DE CONTAS'!$C$6:$D$128,2,0),"")</f>
        <v>3.1.1.04</v>
      </c>
      <c r="E122" s="158" t="s">
        <v>572</v>
      </c>
      <c r="F122" s="159">
        <f>F84*5%</f>
        <v>250</v>
      </c>
      <c r="H122" s="453" t="s">
        <v>558</v>
      </c>
    </row>
    <row r="123" spans="2:8">
      <c r="B123" s="158"/>
      <c r="C123" s="161" t="s">
        <v>185</v>
      </c>
      <c r="D123" s="214" t="str">
        <f>IFERROR(VLOOKUP(E123,'PLANO DE CONTAS'!$C$6:$D$128,2,0),"")</f>
        <v>2.1.3.03</v>
      </c>
      <c r="E123" s="158" t="s">
        <v>655</v>
      </c>
      <c r="F123" s="159">
        <f>F122</f>
        <v>250</v>
      </c>
      <c r="H123" s="453"/>
    </row>
    <row r="124" spans="2:8">
      <c r="C124" s="167" t="s">
        <v>184</v>
      </c>
      <c r="D124" s="214" t="str">
        <f>IFERROR(VLOOKUP(E124,'PLANO DE CONTAS'!$C$6:$D$128,2,0),"")</f>
        <v>3.1.1.05</v>
      </c>
      <c r="E124" s="158" t="s">
        <v>573</v>
      </c>
      <c r="F124" s="159">
        <f>F81*12%</f>
        <v>10800</v>
      </c>
      <c r="H124" s="453"/>
    </row>
    <row r="125" spans="2:8">
      <c r="C125" s="161" t="s">
        <v>185</v>
      </c>
      <c r="D125" s="214" t="str">
        <f>IFERROR(VLOOKUP(E125,'PLANO DE CONTAS'!$C$6:$D$128,2,0),"")</f>
        <v>2.1.3.02</v>
      </c>
      <c r="E125" s="158" t="s">
        <v>81</v>
      </c>
      <c r="F125" s="159">
        <f>F124</f>
        <v>10800</v>
      </c>
      <c r="H125" s="453"/>
    </row>
    <row r="126" spans="2:8">
      <c r="C126" s="167" t="s">
        <v>184</v>
      </c>
      <c r="D126" s="214" t="str">
        <f>IFERROR(VLOOKUP(E126,'PLANO DE CONTAS'!$C$6:$D$128,2,0),"")</f>
        <v>3.1.1.06</v>
      </c>
      <c r="E126" s="158" t="s">
        <v>574</v>
      </c>
      <c r="F126" s="159">
        <f>(F81+F84)*0.65%</f>
        <v>617.5</v>
      </c>
      <c r="H126" s="453"/>
    </row>
    <row r="127" spans="2:8">
      <c r="C127" s="161" t="s">
        <v>185</v>
      </c>
      <c r="D127" s="214" t="str">
        <f>IFERROR(VLOOKUP(E127,'PLANO DE CONTAS'!$C$6:$D$128,2,0),"")</f>
        <v>2.1.3.04</v>
      </c>
      <c r="E127" s="158" t="s">
        <v>228</v>
      </c>
      <c r="F127" s="159">
        <f>F126</f>
        <v>617.5</v>
      </c>
      <c r="H127" s="453"/>
    </row>
    <row r="128" spans="2:8">
      <c r="C128" s="167" t="s">
        <v>184</v>
      </c>
      <c r="D128" s="214" t="str">
        <f>IFERROR(VLOOKUP(E128,'PLANO DE CONTAS'!$C$6:$D$128,2,0),"")</f>
        <v>3.1.1.07</v>
      </c>
      <c r="E128" s="158" t="s">
        <v>575</v>
      </c>
      <c r="F128" s="159">
        <f>(F81+F84)*3%</f>
        <v>2850</v>
      </c>
      <c r="H128" s="453"/>
    </row>
    <row r="129" spans="2:9">
      <c r="C129" s="161" t="s">
        <v>185</v>
      </c>
      <c r="D129" s="214" t="str">
        <f>IFERROR(VLOOKUP(E129,'PLANO DE CONTAS'!$C$6:$D$128,2,0),"")</f>
        <v>2.1.3.05</v>
      </c>
      <c r="E129" s="158" t="s">
        <v>229</v>
      </c>
      <c r="F129" s="159">
        <f>F128</f>
        <v>2850</v>
      </c>
      <c r="H129" s="453"/>
    </row>
    <row r="130" spans="2:9">
      <c r="D130" s="214" t="str">
        <f>IFERROR(VLOOKUP(E130,'PLANO DE CONTAS'!$C$6:$D$128,2,0),"")</f>
        <v/>
      </c>
    </row>
    <row r="131" spans="2:9">
      <c r="B131" s="160" t="s">
        <v>445</v>
      </c>
      <c r="C131" s="167" t="s">
        <v>184</v>
      </c>
      <c r="D131" s="214" t="str">
        <f>IFERROR(VLOOKUP(E131,'PLANO DE CONTAS'!$C$6:$D$128,2,0),"")</f>
        <v>2.1.3.02</v>
      </c>
      <c r="E131" s="158" t="s">
        <v>81</v>
      </c>
      <c r="F131" s="159">
        <f>((F24+F77)/48)+F70</f>
        <v>9013.125</v>
      </c>
      <c r="H131" s="453" t="s">
        <v>557</v>
      </c>
    </row>
    <row r="132" spans="2:9">
      <c r="C132" s="161" t="s">
        <v>185</v>
      </c>
      <c r="D132" s="214" t="str">
        <f>IFERROR(VLOOKUP(E132,'PLANO DE CONTAS'!$C$6:$D$128,2,0),"")</f>
        <v>1.1.4.02</v>
      </c>
      <c r="E132" s="158" t="s">
        <v>294</v>
      </c>
      <c r="F132" s="159">
        <f>F131</f>
        <v>9013.125</v>
      </c>
      <c r="H132" s="453"/>
    </row>
    <row r="133" spans="2:9">
      <c r="D133" s="214"/>
      <c r="H133" s="212"/>
    </row>
    <row r="134" spans="2:9">
      <c r="B134" s="160" t="s">
        <v>632</v>
      </c>
      <c r="C134" s="167" t="s">
        <v>184</v>
      </c>
      <c r="D134" s="214" t="str">
        <f>IFERROR(VLOOKUP(E134,'PLANO DE CONTAS'!$C$6:$D$128,2,0),"")</f>
        <v>3.2.3.02</v>
      </c>
      <c r="E134" s="158" t="s">
        <v>588</v>
      </c>
      <c r="F134" s="168">
        <f>1432-F112</f>
        <v>1112</v>
      </c>
      <c r="H134" s="453" t="s">
        <v>633</v>
      </c>
    </row>
    <row r="135" spans="2:9">
      <c r="C135" s="161" t="s">
        <v>185</v>
      </c>
      <c r="D135" s="214" t="str">
        <f>IFERROR(VLOOKUP(E135,'PLANO DE CONTAS'!$C$6:$D$128,2,0),"")</f>
        <v>2.1.4.03</v>
      </c>
      <c r="E135" s="158" t="s">
        <v>393</v>
      </c>
      <c r="F135" s="168">
        <f>F134</f>
        <v>1112</v>
      </c>
      <c r="H135" s="453"/>
    </row>
    <row r="136" spans="2:9">
      <c r="D136" s="214" t="str">
        <f>IFERROR(VLOOKUP(E136,'PLANO DE CONTAS'!$C$6:$D$128,2,0),"")</f>
        <v/>
      </c>
      <c r="F136" s="168"/>
      <c r="H136" s="212"/>
    </row>
    <row r="137" spans="2:9">
      <c r="B137" s="160" t="s">
        <v>634</v>
      </c>
      <c r="C137" s="167" t="s">
        <v>184</v>
      </c>
      <c r="D137" s="214" t="str">
        <f>IFERROR(VLOOKUP(E137,'PLANO DE CONTAS'!$C$6:$D$128,2,0),"")</f>
        <v>2.1.3.08</v>
      </c>
      <c r="E137" s="158" t="s">
        <v>566</v>
      </c>
      <c r="F137" s="168">
        <v>780.64</v>
      </c>
      <c r="H137" s="453" t="s">
        <v>635</v>
      </c>
    </row>
    <row r="138" spans="2:9">
      <c r="C138" s="161" t="s">
        <v>185</v>
      </c>
      <c r="D138" s="214" t="str">
        <f>IFERROR(VLOOKUP(E138,'PLANO DE CONTAS'!$C$6:$D$128,2,0),"")</f>
        <v>1.1.1.02</v>
      </c>
      <c r="E138" s="158" t="s">
        <v>9</v>
      </c>
      <c r="F138" s="168">
        <f>F137</f>
        <v>780.64</v>
      </c>
      <c r="H138" s="453"/>
      <c r="I138" s="169"/>
    </row>
    <row r="139" spans="2:9" ht="15" customHeight="1">
      <c r="D139" s="214" t="str">
        <f>IFERROR(VLOOKUP(E139,'PLANO DE CONTAS'!$C$6:$D$128,2,0),"")</f>
        <v/>
      </c>
      <c r="F139" s="168"/>
      <c r="H139" s="212"/>
    </row>
    <row r="140" spans="2:9">
      <c r="B140" s="160" t="s">
        <v>636</v>
      </c>
      <c r="C140" s="167" t="s">
        <v>184</v>
      </c>
      <c r="D140" s="214" t="str">
        <f>IFERROR(VLOOKUP(E140,'PLANO DE CONTAS'!$C$6:$D$128,2,0),"")</f>
        <v>3.2.4.02</v>
      </c>
      <c r="E140" s="158" t="s">
        <v>596</v>
      </c>
      <c r="F140" s="168">
        <v>100.36</v>
      </c>
      <c r="H140" s="453" t="s">
        <v>597</v>
      </c>
    </row>
    <row r="141" spans="2:9">
      <c r="C141" s="161" t="s">
        <v>185</v>
      </c>
      <c r="D141" s="214" t="str">
        <f>IFERROR(VLOOKUP(E141,'PLANO DE CONTAS'!$C$6:$D$128,2,0),"")</f>
        <v>1.1.1.02</v>
      </c>
      <c r="E141" s="158" t="s">
        <v>9</v>
      </c>
      <c r="F141" s="168">
        <f>F140</f>
        <v>100.36</v>
      </c>
      <c r="H141" s="453"/>
    </row>
    <row r="142" spans="2:9">
      <c r="B142" s="205"/>
      <c r="C142" s="206"/>
      <c r="D142" s="206"/>
      <c r="E142" s="206"/>
      <c r="F142" s="206"/>
      <c r="G142" s="206"/>
      <c r="H142" s="208"/>
    </row>
    <row r="143" spans="2:9" ht="15" customHeight="1">
      <c r="D143" s="214" t="str">
        <f>IFERROR(VLOOKUP(E143,'PLANO DE CONTAS'!$C$6:$D$127,2,0),"")</f>
        <v/>
      </c>
    </row>
    <row r="144" spans="2:9">
      <c r="B144" s="160" t="s">
        <v>446</v>
      </c>
      <c r="C144" s="167" t="s">
        <v>184</v>
      </c>
      <c r="D144" s="214" t="str">
        <f>IFERROR(VLOOKUP(E144,'PLANO DE CONTAS'!$C$6:$D$127,2,0),"")</f>
        <v>2.1.4.01</v>
      </c>
      <c r="E144" s="158" t="s">
        <v>86</v>
      </c>
      <c r="F144" s="168">
        <v>3415</v>
      </c>
      <c r="H144" s="453" t="s">
        <v>638</v>
      </c>
    </row>
    <row r="145" spans="2:8">
      <c r="C145" s="161" t="s">
        <v>185</v>
      </c>
      <c r="D145" s="214" t="str">
        <f>IFERROR(VLOOKUP(E145,'PLANO DE CONTAS'!$C$6:$D$127,2,0),"")</f>
        <v>1.1.1.02</v>
      </c>
      <c r="E145" s="158" t="s">
        <v>9</v>
      </c>
      <c r="F145" s="168">
        <f>F144</f>
        <v>3415</v>
      </c>
      <c r="H145" s="453"/>
    </row>
    <row r="146" spans="2:8">
      <c r="D146" s="214" t="str">
        <f>IFERROR(VLOOKUP(E146,'PLANO DE CONTAS'!$C$6:$D$127,2,0),"")</f>
        <v/>
      </c>
    </row>
    <row r="147" spans="2:8" ht="15" customHeight="1">
      <c r="B147" s="160" t="s">
        <v>447</v>
      </c>
      <c r="C147" s="167" t="s">
        <v>184</v>
      </c>
      <c r="D147" s="214" t="str">
        <f>IFERROR(VLOOKUP(E147,'PLANO DE CONTAS'!$C$6:$D$127,2,0),"")</f>
        <v>1.1.3.01</v>
      </c>
      <c r="E147" s="158" t="s">
        <v>19</v>
      </c>
      <c r="F147" s="168">
        <f>F149-F148</f>
        <v>41850</v>
      </c>
      <c r="H147" s="453" t="s">
        <v>559</v>
      </c>
    </row>
    <row r="148" spans="2:8">
      <c r="C148" s="167" t="s">
        <v>184</v>
      </c>
      <c r="D148" s="214" t="str">
        <f>IFERROR(VLOOKUP(E148,'PLANO DE CONTAS'!$C$6:$D$127,2,0),"")</f>
        <v>1.1.4.02</v>
      </c>
      <c r="E148" s="158" t="s">
        <v>294</v>
      </c>
      <c r="F148" s="168">
        <f>F149*7%</f>
        <v>3150.0000000000005</v>
      </c>
      <c r="H148" s="453"/>
    </row>
    <row r="149" spans="2:8">
      <c r="C149" s="161" t="s">
        <v>185</v>
      </c>
      <c r="D149" s="214" t="str">
        <f>IFERROR(VLOOKUP(E149,'PLANO DE CONTAS'!$C$6:$D$127,2,0),"")</f>
        <v>2.1.1.01</v>
      </c>
      <c r="E149" s="158" t="s">
        <v>69</v>
      </c>
      <c r="F149" s="159">
        <v>45000</v>
      </c>
      <c r="H149" s="453"/>
    </row>
    <row r="150" spans="2:8">
      <c r="D150" s="214" t="str">
        <f>IFERROR(VLOOKUP(E150,'PLANO DE CONTAS'!$C$6:$D$127,2,0),"")</f>
        <v/>
      </c>
    </row>
    <row r="151" spans="2:8">
      <c r="B151" s="160" t="s">
        <v>448</v>
      </c>
      <c r="C151" s="167" t="s">
        <v>184</v>
      </c>
      <c r="D151" s="214" t="str">
        <f>IFERROR(VLOOKUP(E151,'PLANO DE CONTAS'!$C$6:$D$127,2,0),"")</f>
        <v>2.1.4.02</v>
      </c>
      <c r="E151" s="158" t="s">
        <v>394</v>
      </c>
      <c r="F151" s="168">
        <v>320</v>
      </c>
      <c r="H151" s="453" t="s">
        <v>451</v>
      </c>
    </row>
    <row r="152" spans="2:8">
      <c r="C152" s="161" t="s">
        <v>185</v>
      </c>
      <c r="D152" s="214" t="str">
        <f>IFERROR(VLOOKUP(E152,'PLANO DE CONTAS'!$C$6:$D$127,2,0),"")</f>
        <v>1.1.1.02</v>
      </c>
      <c r="E152" s="158" t="s">
        <v>9</v>
      </c>
      <c r="F152" s="168">
        <f>F151</f>
        <v>320</v>
      </c>
      <c r="H152" s="453"/>
    </row>
    <row r="153" spans="2:8">
      <c r="D153" s="214" t="str">
        <f>IFERROR(VLOOKUP(E153,'PLANO DE CONTAS'!$C$6:$D$127,2,0),"")</f>
        <v/>
      </c>
    </row>
    <row r="154" spans="2:8">
      <c r="D154" s="214" t="str">
        <f>IFERROR(VLOOKUP(E154,'PLANO DE CONTAS'!$C$6:$D$127,2,0),"")</f>
        <v/>
      </c>
    </row>
    <row r="155" spans="2:8">
      <c r="B155" s="160" t="s">
        <v>449</v>
      </c>
      <c r="C155" s="167" t="s">
        <v>184</v>
      </c>
      <c r="D155" s="214" t="str">
        <f>IFERROR(VLOOKUP(E155,'PLANO DE CONTAS'!$C$6:$D$127,2,0),"")</f>
        <v>3.2.2.01</v>
      </c>
      <c r="E155" s="158" t="s">
        <v>579</v>
      </c>
      <c r="F155" s="168">
        <v>1000</v>
      </c>
      <c r="H155" s="453" t="s">
        <v>404</v>
      </c>
    </row>
    <row r="156" spans="2:8">
      <c r="C156" s="161" t="s">
        <v>185</v>
      </c>
      <c r="D156" s="214" t="str">
        <f>IFERROR(VLOOKUP(E156,'PLANO DE CONTAS'!$C$6:$D$127,2,0),"")</f>
        <v>1.1.4.04</v>
      </c>
      <c r="E156" s="158" t="s">
        <v>386</v>
      </c>
      <c r="F156" s="168">
        <v>1000</v>
      </c>
      <c r="H156" s="453"/>
    </row>
    <row r="157" spans="2:8" ht="15" customHeight="1">
      <c r="D157" s="214" t="str">
        <f>IFERROR(VLOOKUP(E157,'PLANO DE CONTAS'!$C$6:$D$127,2,0),"")</f>
        <v/>
      </c>
    </row>
    <row r="158" spans="2:8">
      <c r="D158" s="214" t="str">
        <f>IFERROR(VLOOKUP(E158,'PLANO DE CONTAS'!$C$6:$D$127,2,0),"")</f>
        <v/>
      </c>
    </row>
    <row r="159" spans="2:8">
      <c r="B159" s="160" t="s">
        <v>450</v>
      </c>
      <c r="C159" s="167" t="s">
        <v>184</v>
      </c>
      <c r="D159" s="214" t="str">
        <f>IFERROR(VLOOKUP(E159,'PLANO DE CONTAS'!$C$6:$D$127,2,0),"")</f>
        <v>1.1.2.01</v>
      </c>
      <c r="E159" s="158" t="s">
        <v>13</v>
      </c>
      <c r="F159" s="159">
        <f>F165-F160-F161-F162-F163-F164</f>
        <v>4617.5</v>
      </c>
      <c r="H159" s="453" t="s">
        <v>453</v>
      </c>
    </row>
    <row r="160" spans="2:8">
      <c r="C160" s="167" t="s">
        <v>184</v>
      </c>
      <c r="D160" s="214" t="str">
        <f>IFERROR(VLOOKUP(E160,'PLANO DE CONTAS'!C6:D128,2,0),"")</f>
        <v>1.1.4.05</v>
      </c>
      <c r="E160" s="158" t="s">
        <v>645</v>
      </c>
      <c r="F160" s="159">
        <v>50</v>
      </c>
      <c r="H160" s="453"/>
    </row>
    <row r="161" spans="2:8">
      <c r="C161" s="167" t="s">
        <v>184</v>
      </c>
      <c r="D161" s="214" t="str">
        <f>IFERROR(VLOOKUP(E161,'PLANO DE CONTAS'!C7:D129,2,0),"")</f>
        <v>1.1.4.06</v>
      </c>
      <c r="E161" s="158" t="s">
        <v>363</v>
      </c>
      <c r="F161" s="159">
        <v>50</v>
      </c>
      <c r="H161" s="453"/>
    </row>
    <row r="162" spans="2:8">
      <c r="C162" s="167" t="s">
        <v>184</v>
      </c>
      <c r="D162" s="214" t="str">
        <f>IFERROR(VLOOKUP(E162,'PLANO DE CONTAS'!C8:D130,2,0),"")</f>
        <v>1.1.4.07</v>
      </c>
      <c r="E162" s="158" t="s">
        <v>646</v>
      </c>
      <c r="F162" s="159">
        <v>150</v>
      </c>
      <c r="H162" s="453"/>
    </row>
    <row r="163" spans="2:8">
      <c r="C163" s="167" t="s">
        <v>184</v>
      </c>
      <c r="D163" s="214" t="str">
        <f>IFERROR(VLOOKUP(E163,'PLANO DE CONTAS'!C9:D131,2,0),"")</f>
        <v>1.1.4.08</v>
      </c>
      <c r="E163" s="158" t="s">
        <v>647</v>
      </c>
      <c r="F163" s="159">
        <v>32.5</v>
      </c>
      <c r="H163" s="453"/>
    </row>
    <row r="164" spans="2:8">
      <c r="C164" s="167" t="s">
        <v>184</v>
      </c>
      <c r="D164" s="214" t="str">
        <f>IFERROR(VLOOKUP(E164,'PLANO DE CONTAS'!C10:D132,2,0),"")</f>
        <v>1.1.4.09</v>
      </c>
      <c r="E164" s="158" t="s">
        <v>307</v>
      </c>
      <c r="F164" s="159">
        <v>100</v>
      </c>
      <c r="H164" s="453"/>
    </row>
    <row r="165" spans="2:8">
      <c r="C165" s="161" t="s">
        <v>185</v>
      </c>
      <c r="D165" s="214" t="str">
        <f>IFERROR(VLOOKUP(E165,'PLANO DE CONTAS'!$C$6:$D$127,2,0),"")</f>
        <v>3.1.1.03</v>
      </c>
      <c r="E165" s="158" t="s">
        <v>568</v>
      </c>
      <c r="F165" s="159">
        <v>5000</v>
      </c>
      <c r="H165" s="453"/>
    </row>
    <row r="166" spans="2:8" ht="15" customHeight="1">
      <c r="D166" s="214" t="str">
        <f>IFERROR(VLOOKUP(E166,'PLANO DE CONTAS'!$C$6:$D$127,2,0),"")</f>
        <v/>
      </c>
      <c r="H166" s="212"/>
    </row>
    <row r="167" spans="2:8">
      <c r="B167" s="160" t="s">
        <v>452</v>
      </c>
      <c r="C167" s="167" t="s">
        <v>184</v>
      </c>
      <c r="D167" s="214" t="str">
        <f>IFERROR(VLOOKUP(E167,'PLANO DE CONTAS'!$C$6:$D$127,2,0),"")</f>
        <v>1.1.1.02</v>
      </c>
      <c r="E167" s="158" t="s">
        <v>9</v>
      </c>
      <c r="F167" s="159">
        <v>5000</v>
      </c>
      <c r="H167" s="453" t="s">
        <v>401</v>
      </c>
    </row>
    <row r="168" spans="2:8">
      <c r="C168" s="161" t="s">
        <v>185</v>
      </c>
      <c r="D168" s="214" t="str">
        <f>IFERROR(VLOOKUP(E168,'PLANO DE CONTAS'!$C$6:$D$127,2,0),"")</f>
        <v>1.1.2.01</v>
      </c>
      <c r="E168" s="158" t="s">
        <v>13</v>
      </c>
      <c r="F168" s="159">
        <f>F167</f>
        <v>5000</v>
      </c>
      <c r="H168" s="453"/>
    </row>
    <row r="169" spans="2:8" ht="15" customHeight="1">
      <c r="D169" s="214" t="str">
        <f>IFERROR(VLOOKUP(E169,'PLANO DE CONTAS'!$C$6:$D$127,2,0),"")</f>
        <v/>
      </c>
      <c r="H169" s="212"/>
    </row>
    <row r="170" spans="2:8">
      <c r="B170" s="160" t="s">
        <v>454</v>
      </c>
      <c r="C170" s="167" t="s">
        <v>184</v>
      </c>
      <c r="D170" s="214" t="str">
        <f>IFERROR(VLOOKUP(E170,'PLANO DE CONTAS'!$C$6:$D$127,2,0),"")</f>
        <v>1.1.2.01</v>
      </c>
      <c r="E170" s="158" t="s">
        <v>13</v>
      </c>
      <c r="F170" s="159">
        <v>51000</v>
      </c>
      <c r="H170" s="453" t="s">
        <v>560</v>
      </c>
    </row>
    <row r="171" spans="2:8">
      <c r="C171" s="161" t="s">
        <v>185</v>
      </c>
      <c r="D171" s="214" t="str">
        <f>IFERROR(VLOOKUP(E171,'PLANO DE CONTAS'!$C$6:$D$127,2,0),"")</f>
        <v>3.1.1.02</v>
      </c>
      <c r="E171" s="158" t="s">
        <v>142</v>
      </c>
      <c r="F171" s="159">
        <v>51000</v>
      </c>
      <c r="H171" s="453"/>
    </row>
    <row r="172" spans="2:8" ht="14.4" customHeight="1">
      <c r="D172" s="214" t="str">
        <f>IFERROR(VLOOKUP(E172,'PLANO DE CONTAS'!$C$6:$D$127,2,0),"")</f>
        <v/>
      </c>
      <c r="H172" s="212"/>
    </row>
    <row r="173" spans="2:8" ht="14.4" customHeight="1">
      <c r="B173" s="160" t="s">
        <v>455</v>
      </c>
      <c r="C173" s="167" t="s">
        <v>184</v>
      </c>
      <c r="D173" s="214" t="str">
        <f>IFERROR(VLOOKUP(E173,'PLANO DE CONTAS'!$C$6:$D$127,2,0),"")</f>
        <v>3.2.2.02</v>
      </c>
      <c r="E173" s="158" t="s">
        <v>580</v>
      </c>
      <c r="F173" s="159">
        <v>900</v>
      </c>
      <c r="H173" s="453" t="s">
        <v>398</v>
      </c>
    </row>
    <row r="174" spans="2:8" ht="15" customHeight="1">
      <c r="B174" s="158"/>
      <c r="C174" s="161" t="s">
        <v>185</v>
      </c>
      <c r="D174" s="214" t="str">
        <f>IFERROR(VLOOKUP(E174,'PLANO DE CONTAS'!$C$6:$D$127,2,0),"")</f>
        <v>1.1.1.02</v>
      </c>
      <c r="E174" s="158" t="s">
        <v>9</v>
      </c>
      <c r="F174" s="159">
        <f>F173</f>
        <v>900</v>
      </c>
      <c r="H174" s="453"/>
    </row>
    <row r="175" spans="2:8">
      <c r="D175" s="214" t="str">
        <f>IFERROR(VLOOKUP(E175,'PLANO DE CONTAS'!$C$6:$D$127,2,0),"")</f>
        <v/>
      </c>
      <c r="H175" s="453"/>
    </row>
    <row r="176" spans="2:8">
      <c r="B176" s="160" t="s">
        <v>456</v>
      </c>
      <c r="C176" s="167" t="s">
        <v>184</v>
      </c>
      <c r="D176" s="214" t="str">
        <f>IFERROR(VLOOKUP(E176,'PLANO DE CONTAS'!$C$6:$D$127,2,0),"")</f>
        <v>1.1.1.02</v>
      </c>
      <c r="E176" s="158" t="s">
        <v>9</v>
      </c>
      <c r="F176" s="159">
        <v>5500</v>
      </c>
      <c r="H176" s="453" t="s">
        <v>430</v>
      </c>
    </row>
    <row r="177" spans="2:8">
      <c r="C177" s="161" t="s">
        <v>185</v>
      </c>
      <c r="D177" s="214" t="str">
        <f>IFERROR(VLOOKUP(E177,'PLANO DE CONTAS'!$C$6:$D$127,2,0),"")</f>
        <v>1.1.2.01</v>
      </c>
      <c r="E177" s="158" t="s">
        <v>13</v>
      </c>
      <c r="F177" s="159">
        <v>5000</v>
      </c>
      <c r="H177" s="453"/>
    </row>
    <row r="178" spans="2:8">
      <c r="B178" s="158"/>
      <c r="C178" s="161" t="s">
        <v>185</v>
      </c>
      <c r="D178" s="214" t="str">
        <f>IFERROR(VLOOKUP(E178,'PLANO DE CONTAS'!$C$6:$D$127,2,0),"")</f>
        <v>3.1.2.02</v>
      </c>
      <c r="E178" s="158" t="s">
        <v>151</v>
      </c>
      <c r="F178" s="159">
        <v>500</v>
      </c>
      <c r="H178" s="453"/>
    </row>
    <row r="179" spans="2:8">
      <c r="D179" s="214" t="str">
        <f>IFERROR(VLOOKUP(E179,'PLANO DE CONTAS'!$C$6:$D$127,2,0),"")</f>
        <v/>
      </c>
      <c r="H179" s="212"/>
    </row>
    <row r="180" spans="2:8">
      <c r="B180" s="160" t="s">
        <v>457</v>
      </c>
      <c r="C180" s="167" t="s">
        <v>184</v>
      </c>
      <c r="D180" s="214" t="str">
        <f>IFERROR(VLOOKUP(E180,'PLANO DE CONTAS'!$C$6:$D$127,2,0),"")</f>
        <v>2.1.4.03</v>
      </c>
      <c r="E180" s="158" t="s">
        <v>393</v>
      </c>
      <c r="F180" s="159">
        <v>1432</v>
      </c>
      <c r="H180" s="453" t="s">
        <v>562</v>
      </c>
    </row>
    <row r="181" spans="2:8" ht="15" customHeight="1">
      <c r="B181" s="158"/>
      <c r="C181" s="161" t="s">
        <v>185</v>
      </c>
      <c r="D181" s="214" t="str">
        <f>IFERROR(VLOOKUP(E181,'PLANO DE CONTAS'!$C$6:$D$127,2,0),"")</f>
        <v>1.1.1.02</v>
      </c>
      <c r="E181" s="158" t="s">
        <v>9</v>
      </c>
      <c r="F181" s="159">
        <f>F180</f>
        <v>1432</v>
      </c>
      <c r="H181" s="453"/>
    </row>
    <row r="182" spans="2:8">
      <c r="D182" s="214" t="str">
        <f>IFERROR(VLOOKUP(E182,'PLANO DE CONTAS'!$C$6:$D$127,2,0),"")</f>
        <v/>
      </c>
      <c r="H182" s="212"/>
    </row>
    <row r="183" spans="2:8">
      <c r="B183" s="160" t="s">
        <v>458</v>
      </c>
      <c r="C183" s="167" t="s">
        <v>184</v>
      </c>
      <c r="D183" s="214" t="str">
        <f>IFERROR(VLOOKUP(E183,'PLANO DE CONTAS'!$C$6:$D$127,2,0),"")</f>
        <v>2.1.4.04</v>
      </c>
      <c r="E183" s="158" t="s">
        <v>220</v>
      </c>
      <c r="F183" s="159">
        <v>115</v>
      </c>
      <c r="H183" s="453" t="s">
        <v>400</v>
      </c>
    </row>
    <row r="184" spans="2:8">
      <c r="C184" s="167" t="s">
        <v>184</v>
      </c>
      <c r="D184" s="214" t="str">
        <f>IFERROR(VLOOKUP(E184,'PLANO DE CONTAS'!$C$6:$D$127,2,0),"")</f>
        <v>3.2.4.01</v>
      </c>
      <c r="E184" s="158" t="s">
        <v>177</v>
      </c>
      <c r="F184" s="159">
        <v>15</v>
      </c>
      <c r="H184" s="453"/>
    </row>
    <row r="185" spans="2:8">
      <c r="B185" s="158"/>
      <c r="C185" s="161" t="s">
        <v>185</v>
      </c>
      <c r="D185" s="214" t="str">
        <f>IFERROR(VLOOKUP(E185,'PLANO DE CONTAS'!$C$6:$D$127,2,0),"")</f>
        <v>1.1.1.02</v>
      </c>
      <c r="E185" s="158" t="s">
        <v>9</v>
      </c>
      <c r="F185" s="159">
        <f>SUM(F183:F184)</f>
        <v>130</v>
      </c>
      <c r="H185" s="212"/>
    </row>
    <row r="186" spans="2:8">
      <c r="D186" s="214" t="str">
        <f>IFERROR(VLOOKUP(E186,'PLANO DE CONTAS'!$C$6:$D$127,2,0),"")</f>
        <v/>
      </c>
    </row>
    <row r="187" spans="2:8" ht="15" customHeight="1">
      <c r="B187" s="160" t="s">
        <v>459</v>
      </c>
      <c r="C187" s="167" t="s">
        <v>184</v>
      </c>
      <c r="D187" s="214" t="str">
        <f>IFERROR(VLOOKUP(E187,'PLANO DE CONTAS'!$C$6:$D$127,2,0),"")</f>
        <v>3.2.2.03</v>
      </c>
      <c r="E187" s="158" t="s">
        <v>582</v>
      </c>
      <c r="F187" s="159">
        <v>250</v>
      </c>
      <c r="H187" s="453" t="s">
        <v>205</v>
      </c>
    </row>
    <row r="188" spans="2:8" ht="15" customHeight="1">
      <c r="B188" s="158"/>
      <c r="C188" s="161" t="s">
        <v>185</v>
      </c>
      <c r="D188" s="214" t="str">
        <f>IFERROR(VLOOKUP(E188,'PLANO DE CONTAS'!$C$6:$D$127,2,0),"")</f>
        <v>1.1.1.01</v>
      </c>
      <c r="E188" s="158" t="s">
        <v>7</v>
      </c>
      <c r="F188" s="159">
        <f>F187</f>
        <v>250</v>
      </c>
      <c r="H188" s="453"/>
    </row>
    <row r="189" spans="2:8">
      <c r="D189" s="214" t="str">
        <f>IFERROR(VLOOKUP(E189,'PLANO DE CONTAS'!$C$6:$D$127,2,0),"")</f>
        <v/>
      </c>
      <c r="H189" s="212"/>
    </row>
    <row r="190" spans="2:8">
      <c r="B190" s="160" t="s">
        <v>460</v>
      </c>
      <c r="C190" s="167" t="s">
        <v>184</v>
      </c>
      <c r="D190" s="214" t="str">
        <f>IFERROR(VLOOKUP(E190,'PLANO DE CONTAS'!$C$6:$D$127,2,0),"")</f>
        <v>3.2.2.04</v>
      </c>
      <c r="E190" s="158" t="s">
        <v>629</v>
      </c>
      <c r="F190" s="159">
        <v>400</v>
      </c>
      <c r="H190" s="453" t="s">
        <v>243</v>
      </c>
    </row>
    <row r="191" spans="2:8" ht="15" customHeight="1">
      <c r="C191" s="161" t="s">
        <v>185</v>
      </c>
      <c r="D191" s="214" t="str">
        <f>IFERROR(VLOOKUP(E191,'PLANO DE CONTAS'!$C$6:$D$127,2,0),"")</f>
        <v>1.1.1.01</v>
      </c>
      <c r="E191" s="158" t="s">
        <v>7</v>
      </c>
      <c r="F191" s="159">
        <f>F190</f>
        <v>400</v>
      </c>
      <c r="H191" s="453"/>
    </row>
    <row r="192" spans="2:8">
      <c r="B192" s="158"/>
      <c r="D192" s="214" t="str">
        <f>IFERROR(VLOOKUP(E192,'PLANO DE CONTAS'!$C$6:$D$127,2,0),"")</f>
        <v/>
      </c>
      <c r="H192" s="453"/>
    </row>
    <row r="193" spans="2:8">
      <c r="B193" s="160" t="s">
        <v>461</v>
      </c>
      <c r="C193" s="167" t="s">
        <v>184</v>
      </c>
      <c r="D193" s="214" t="str">
        <f>IFERROR(VLOOKUP(E193,'PLANO DE CONTAS'!$C$6:$D$127,2,0),"")</f>
        <v>1.1.1.02</v>
      </c>
      <c r="E193" s="158" t="s">
        <v>9</v>
      </c>
      <c r="F193" s="159">
        <v>20000</v>
      </c>
      <c r="H193" s="453" t="s">
        <v>395</v>
      </c>
    </row>
    <row r="194" spans="2:8" ht="15" customHeight="1">
      <c r="B194" s="158"/>
      <c r="C194" s="161" t="s">
        <v>185</v>
      </c>
      <c r="D194" s="214" t="str">
        <f>IFERROR(VLOOKUP(E194,'PLANO DE CONTAS'!$C$6:$D$127,2,0),"")</f>
        <v>1.1.2.01</v>
      </c>
      <c r="E194" s="158" t="s">
        <v>13</v>
      </c>
      <c r="F194" s="159">
        <f>F193</f>
        <v>20000</v>
      </c>
      <c r="H194" s="453"/>
    </row>
    <row r="195" spans="2:8">
      <c r="D195" s="214" t="str">
        <f>IFERROR(VLOOKUP(E195,'PLANO DE CONTAS'!$C$6:$D$127,2,0),"")</f>
        <v/>
      </c>
      <c r="H195" s="453"/>
    </row>
    <row r="196" spans="2:8">
      <c r="B196" s="160" t="s">
        <v>462</v>
      </c>
      <c r="C196" s="167" t="s">
        <v>184</v>
      </c>
      <c r="D196" s="214" t="str">
        <f>IFERROR(VLOOKUP(E196,'PLANO DE CONTAS'!$C$6:$D$127,2,0),"")</f>
        <v>3.2.3.01</v>
      </c>
      <c r="E196" s="158" t="s">
        <v>587</v>
      </c>
      <c r="F196" s="159">
        <v>4000</v>
      </c>
      <c r="H196" s="453" t="s">
        <v>561</v>
      </c>
    </row>
    <row r="197" spans="2:8" ht="15" customHeight="1">
      <c r="C197" s="161" t="s">
        <v>185</v>
      </c>
      <c r="D197" s="214" t="str">
        <f>IFERROR(VLOOKUP(E197,'PLANO DE CONTAS'!$C$6:$D$127,2,0),"")</f>
        <v>2.1.4.03</v>
      </c>
      <c r="E197" s="158" t="s">
        <v>393</v>
      </c>
      <c r="F197" s="159">
        <v>320</v>
      </c>
      <c r="H197" s="453"/>
    </row>
    <row r="198" spans="2:8">
      <c r="C198" s="161" t="s">
        <v>185</v>
      </c>
      <c r="D198" s="214" t="str">
        <f>IFERROR(VLOOKUP(E198,'PLANO DE CONTAS'!$C$6:$D$127,2,0),"")</f>
        <v>2.1.4.04</v>
      </c>
      <c r="E198" s="158" t="s">
        <v>220</v>
      </c>
      <c r="F198" s="159">
        <v>265</v>
      </c>
      <c r="H198" s="453"/>
    </row>
    <row r="199" spans="2:8">
      <c r="B199" s="158"/>
      <c r="C199" s="161" t="s">
        <v>185</v>
      </c>
      <c r="D199" s="214" t="str">
        <f>IFERROR(VLOOKUP(E199,'PLANO DE CONTAS'!$C$6:$D$127,2,0),"")</f>
        <v>2.1.4.01</v>
      </c>
      <c r="E199" s="158" t="s">
        <v>86</v>
      </c>
      <c r="F199" s="159">
        <f>F196-F197-F198</f>
        <v>3415</v>
      </c>
      <c r="H199" s="453"/>
    </row>
    <row r="200" spans="2:8" ht="15" customHeight="1">
      <c r="D200" s="214" t="str">
        <f>IFERROR(VLOOKUP(E200,'PLANO DE CONTAS'!$C$6:$D$127,2,0),"")</f>
        <v/>
      </c>
      <c r="H200" s="453"/>
    </row>
    <row r="201" spans="2:8">
      <c r="B201" s="160" t="s">
        <v>463</v>
      </c>
      <c r="C201" s="167" t="s">
        <v>184</v>
      </c>
      <c r="D201" s="214" t="str">
        <f>IFERROR(VLOOKUP(E201,'PLANO DE CONTAS'!$C$6:$D$127,2,0),"")</f>
        <v>3.2.3.03</v>
      </c>
      <c r="E201" s="158" t="s">
        <v>590</v>
      </c>
      <c r="F201" s="159">
        <v>320</v>
      </c>
      <c r="H201" s="453" t="s">
        <v>204</v>
      </c>
    </row>
    <row r="202" spans="2:8">
      <c r="B202" s="158"/>
      <c r="C202" s="161" t="s">
        <v>185</v>
      </c>
      <c r="D202" s="214" t="str">
        <f>IFERROR(VLOOKUP(E202,'PLANO DE CONTAS'!$C$6:$D$127,2,0),"")</f>
        <v>2.1.4.02</v>
      </c>
      <c r="E202" s="158" t="s">
        <v>394</v>
      </c>
      <c r="F202" s="159">
        <f>F201</f>
        <v>320</v>
      </c>
      <c r="H202" s="453"/>
    </row>
    <row r="203" spans="2:8">
      <c r="D203" s="214" t="str">
        <f>IFERROR(VLOOKUP(E203,'PLANO DE CONTAS'!$C$6:$D$127,2,0),"")</f>
        <v/>
      </c>
    </row>
    <row r="204" spans="2:8">
      <c r="B204" s="160" t="s">
        <v>464</v>
      </c>
      <c r="C204" s="167" t="s">
        <v>184</v>
      </c>
      <c r="D204" s="214" t="str">
        <f>IFERROR(VLOOKUP(E204,'PLANO DE CONTAS'!$C$6:$D$127,2,0),"")</f>
        <v>3.2.2.05</v>
      </c>
      <c r="E204" s="158" t="s">
        <v>631</v>
      </c>
      <c r="F204" s="168">
        <v>110.55</v>
      </c>
      <c r="H204" s="453" t="s">
        <v>418</v>
      </c>
    </row>
    <row r="205" spans="2:8">
      <c r="B205" s="158"/>
      <c r="C205" s="161" t="s">
        <v>185</v>
      </c>
      <c r="D205" s="214" t="str">
        <f>IFERROR(VLOOKUP(E205,'PLANO DE CONTAS'!$C$6:$D$127,2,0),"")</f>
        <v>1.3.3.06</v>
      </c>
      <c r="E205" s="158" t="s">
        <v>56</v>
      </c>
      <c r="F205" s="168">
        <f>F204</f>
        <v>110.55</v>
      </c>
      <c r="H205" s="453"/>
    </row>
    <row r="206" spans="2:8">
      <c r="D206" s="214" t="str">
        <f>IFERROR(VLOOKUP(E206,'PLANO DE CONTAS'!$C$6:$D$127,2,0),"")</f>
        <v/>
      </c>
      <c r="H206" s="212"/>
    </row>
    <row r="207" spans="2:8">
      <c r="B207" s="160" t="s">
        <v>465</v>
      </c>
      <c r="C207" s="167" t="s">
        <v>184</v>
      </c>
      <c r="D207" s="214" t="str">
        <f>IFERROR(VLOOKUP(E207,'PLANO DE CONTAS'!$C$6:$D$127,2,0),"")</f>
        <v>3.1.1.04</v>
      </c>
      <c r="E207" s="158" t="s">
        <v>572</v>
      </c>
      <c r="F207" s="159">
        <f>F165*5%</f>
        <v>250</v>
      </c>
    </row>
    <row r="208" spans="2:8">
      <c r="C208" s="161" t="s">
        <v>185</v>
      </c>
      <c r="D208" s="214" t="str">
        <f>IFERROR(VLOOKUP(E208,'PLANO DE CONTAS'!$C$6:$D$127,2,0),"")</f>
        <v>2.1.3.03</v>
      </c>
      <c r="E208" s="158" t="s">
        <v>655</v>
      </c>
      <c r="F208" s="159">
        <f>F207</f>
        <v>250</v>
      </c>
      <c r="H208" s="453" t="s">
        <v>564</v>
      </c>
    </row>
    <row r="209" spans="2:8">
      <c r="C209" s="167" t="s">
        <v>184</v>
      </c>
      <c r="D209" s="214" t="str">
        <f>IFERROR(VLOOKUP(E209,'PLANO DE CONTAS'!$C$6:$D$127,2,0),"")</f>
        <v>3.1.1.05</v>
      </c>
      <c r="E209" s="158" t="s">
        <v>573</v>
      </c>
      <c r="F209" s="159">
        <f>F171*18%</f>
        <v>9180</v>
      </c>
      <c r="H209" s="453"/>
    </row>
    <row r="210" spans="2:8">
      <c r="B210" s="158"/>
      <c r="C210" s="161" t="s">
        <v>185</v>
      </c>
      <c r="D210" s="214" t="str">
        <f>IFERROR(VLOOKUP(E210,'PLANO DE CONTAS'!$C$6:$D$127,2,0),"")</f>
        <v>2.1.3.02</v>
      </c>
      <c r="E210" s="158" t="s">
        <v>81</v>
      </c>
      <c r="F210" s="159">
        <f>F209</f>
        <v>9180</v>
      </c>
      <c r="H210" s="453"/>
    </row>
    <row r="211" spans="2:8">
      <c r="B211" s="158"/>
      <c r="C211" s="167" t="s">
        <v>184</v>
      </c>
      <c r="D211" s="214" t="str">
        <f>IFERROR(VLOOKUP(E211,'PLANO DE CONTAS'!$C$6:$D$127,2,0),"")</f>
        <v>3.1.1.06</v>
      </c>
      <c r="E211" s="158" t="s">
        <v>574</v>
      </c>
      <c r="F211" s="159">
        <f>(F171+F165)*0.65%</f>
        <v>364.00000000000006</v>
      </c>
      <c r="H211" s="453"/>
    </row>
    <row r="212" spans="2:8">
      <c r="C212" s="161" t="s">
        <v>185</v>
      </c>
      <c r="D212" s="214" t="str">
        <f>IFERROR(VLOOKUP(E212,'PLANO DE CONTAS'!$C$6:$D$127,2,0),"")</f>
        <v>2.1.3.04</v>
      </c>
      <c r="E212" s="158" t="s">
        <v>228</v>
      </c>
      <c r="F212" s="159">
        <f>F211</f>
        <v>364.00000000000006</v>
      </c>
      <c r="H212" s="453"/>
    </row>
    <row r="213" spans="2:8">
      <c r="B213" s="158"/>
      <c r="C213" s="167" t="s">
        <v>184</v>
      </c>
      <c r="D213" s="214" t="str">
        <f>IFERROR(VLOOKUP(E213,'PLANO DE CONTAS'!$C$6:$D$127,2,0),"")</f>
        <v>3.1.1.07</v>
      </c>
      <c r="E213" s="158" t="s">
        <v>575</v>
      </c>
      <c r="F213" s="159">
        <f>(F171+F165)*3%</f>
        <v>1680</v>
      </c>
      <c r="H213" s="453"/>
    </row>
    <row r="214" spans="2:8">
      <c r="B214" s="158"/>
      <c r="C214" s="161" t="s">
        <v>185</v>
      </c>
      <c r="D214" s="214" t="str">
        <f>IFERROR(VLOOKUP(E214,'PLANO DE CONTAS'!$C$6:$D$127,2,0),"")</f>
        <v>2.1.3.05</v>
      </c>
      <c r="E214" s="158" t="s">
        <v>229</v>
      </c>
      <c r="F214" s="159">
        <f>F213</f>
        <v>1680</v>
      </c>
      <c r="H214" s="453"/>
    </row>
    <row r="215" spans="2:8">
      <c r="D215" s="214" t="str">
        <f>IFERROR(VLOOKUP(E215,'PLANO DE CONTAS'!$C$6:$D$127,2,0),"")</f>
        <v/>
      </c>
    </row>
    <row r="216" spans="2:8">
      <c r="B216" s="160" t="s">
        <v>466</v>
      </c>
      <c r="C216" s="167" t="s">
        <v>184</v>
      </c>
      <c r="D216" s="214" t="str">
        <f>IFERROR(VLOOKUP(E216,'PLANO DE CONTAS'!$C$6:$D$127,2,0),"")</f>
        <v>2.1.3.02</v>
      </c>
      <c r="E216" s="158" t="s">
        <v>81</v>
      </c>
      <c r="F216" s="159">
        <f>((F24+F77)/48)+F148</f>
        <v>3163.1250000000005</v>
      </c>
      <c r="H216" s="453" t="s">
        <v>563</v>
      </c>
    </row>
    <row r="217" spans="2:8">
      <c r="C217" s="161" t="s">
        <v>185</v>
      </c>
      <c r="D217" s="214" t="str">
        <f>IFERROR(VLOOKUP(E217,'PLANO DE CONTAS'!$C$6:$D$127,2,0),"")</f>
        <v>1.1.4.02</v>
      </c>
      <c r="E217" s="158" t="s">
        <v>294</v>
      </c>
      <c r="F217" s="159">
        <f>F216</f>
        <v>3163.1250000000005</v>
      </c>
      <c r="H217" s="453"/>
    </row>
    <row r="218" spans="2:8">
      <c r="D218" s="214" t="str">
        <f>IFERROR(VLOOKUP(E218,'PLANO DE CONTAS'!$C$6:$D$127,2,0),"")</f>
        <v/>
      </c>
    </row>
    <row r="219" spans="2:8">
      <c r="D219" s="214" t="str">
        <f>IFERROR(VLOOKUP(E219,'PLANO DE CONTAS'!$C$6:$D$127,2,0),"")</f>
        <v/>
      </c>
    </row>
    <row r="220" spans="2:8">
      <c r="B220" s="160" t="s">
        <v>649</v>
      </c>
      <c r="C220" s="167" t="s">
        <v>184</v>
      </c>
      <c r="D220" s="214" t="str">
        <f>IFERROR(VLOOKUP(E220,'PLANO DE CONTAS'!$C$6:$D$127,2,0),"")</f>
        <v>3.2.3.02</v>
      </c>
      <c r="E220" s="158" t="s">
        <v>588</v>
      </c>
      <c r="F220" s="159">
        <f>1432-F197</f>
        <v>1112</v>
      </c>
      <c r="H220" s="453" t="s">
        <v>677</v>
      </c>
    </row>
    <row r="221" spans="2:8">
      <c r="C221" s="161" t="s">
        <v>185</v>
      </c>
      <c r="D221" s="214" t="str">
        <f>IFERROR(VLOOKUP(E221,'PLANO DE CONTAS'!$C$6:$D$127,2,0),"")</f>
        <v>2.1.4.03</v>
      </c>
      <c r="E221" s="158" t="s">
        <v>393</v>
      </c>
      <c r="F221" s="159">
        <f>F220</f>
        <v>1112</v>
      </c>
      <c r="H221" s="453"/>
    </row>
    <row r="222" spans="2:8">
      <c r="D222" s="214" t="str">
        <f>IFERROR(VLOOKUP(E222,'PLANO DE CONTAS'!$C$6:$D$127,2,0),"")</f>
        <v/>
      </c>
    </row>
    <row r="223" spans="2:8">
      <c r="B223" s="160" t="s">
        <v>650</v>
      </c>
      <c r="C223" s="167" t="s">
        <v>184</v>
      </c>
      <c r="D223" s="214" t="str">
        <f>IFERROR(VLOOKUP(E223,'PLANO DE CONTAS'!$C$6:$D$127,2,0),"")</f>
        <v>2.1.3.03</v>
      </c>
      <c r="E223" s="158" t="s">
        <v>655</v>
      </c>
      <c r="F223" s="159">
        <f>F164</f>
        <v>100</v>
      </c>
      <c r="H223" s="453" t="s">
        <v>676</v>
      </c>
    </row>
    <row r="224" spans="2:8">
      <c r="C224" s="161" t="s">
        <v>185</v>
      </c>
      <c r="D224" s="214" t="str">
        <f>IFERROR(VLOOKUP(E224,'PLANO DE CONTAS'!$C$6:$D$127,2,0),"")</f>
        <v>1.1.4.09</v>
      </c>
      <c r="E224" s="158" t="s">
        <v>307</v>
      </c>
      <c r="F224" s="159">
        <f>F223</f>
        <v>100</v>
      </c>
      <c r="H224" s="453"/>
    </row>
    <row r="225" spans="2:8">
      <c r="D225" s="214"/>
      <c r="H225" s="212"/>
    </row>
    <row r="226" spans="2:8">
      <c r="B226" s="160" t="s">
        <v>668</v>
      </c>
      <c r="C226" s="167" t="s">
        <v>184</v>
      </c>
      <c r="D226" s="214" t="str">
        <f>IFERROR(VLOOKUP(E226,'PLANO DE CONTAS'!$C$6:$D$128,2,0),"")</f>
        <v>3.2.4.02</v>
      </c>
      <c r="E226" s="158" t="s">
        <v>596</v>
      </c>
      <c r="F226" s="168">
        <v>103</v>
      </c>
      <c r="H226" s="453" t="s">
        <v>597</v>
      </c>
    </row>
    <row r="227" spans="2:8">
      <c r="C227" s="161" t="s">
        <v>185</v>
      </c>
      <c r="D227" s="214" t="str">
        <f>IFERROR(VLOOKUP(E227,'PLANO DE CONTAS'!$C$6:$D$128,2,0),"")</f>
        <v>1.1.1.02</v>
      </c>
      <c r="E227" s="158" t="s">
        <v>9</v>
      </c>
      <c r="F227" s="168">
        <f>F226</f>
        <v>103</v>
      </c>
      <c r="H227" s="453"/>
    </row>
    <row r="228" spans="2:8">
      <c r="D228" s="214"/>
      <c r="F228" s="168"/>
      <c r="H228" s="212"/>
    </row>
    <row r="229" spans="2:8">
      <c r="B229" s="160" t="s">
        <v>669</v>
      </c>
      <c r="C229" s="167" t="s">
        <v>184</v>
      </c>
      <c r="D229" s="214" t="str">
        <f>IFERROR(VLOOKUP(E229,'PLANO DE CONTAS'!$C$6:$D$127,2,0),"")</f>
        <v>3.2.5.01</v>
      </c>
      <c r="E229" s="158" t="s">
        <v>671</v>
      </c>
      <c r="F229" s="159">
        <v>3111</v>
      </c>
      <c r="H229" s="453" t="s">
        <v>674</v>
      </c>
    </row>
    <row r="230" spans="2:8">
      <c r="C230" s="161" t="s">
        <v>185</v>
      </c>
      <c r="D230" s="214" t="str">
        <f>IFERROR(VLOOKUP(E230,'PLANO DE CONTAS'!$C$6:$D$127,2,0),"")</f>
        <v>2.1.3.07</v>
      </c>
      <c r="E230" s="158" t="s">
        <v>234</v>
      </c>
      <c r="F230" s="159">
        <f>F229</f>
        <v>3111</v>
      </c>
      <c r="H230" s="453"/>
    </row>
    <row r="231" spans="2:8">
      <c r="C231" s="167" t="s">
        <v>184</v>
      </c>
      <c r="D231" s="214" t="str">
        <f>IFERROR(VLOOKUP(E231,'PLANO DE CONTAS'!$C$6:$D$127,2,0),"")</f>
        <v>3.2.5.02</v>
      </c>
      <c r="E231" s="158" t="s">
        <v>672</v>
      </c>
      <c r="F231" s="168">
        <v>2590</v>
      </c>
      <c r="H231" s="212"/>
    </row>
    <row r="232" spans="2:8" ht="15" customHeight="1">
      <c r="C232" s="161" t="s">
        <v>185</v>
      </c>
      <c r="D232" s="214" t="str">
        <f>IFERROR(VLOOKUP(E232,'PLANO DE CONTAS'!$C$6:$D$127,2,0),"")</f>
        <v>2.1.3.06</v>
      </c>
      <c r="E232" s="158" t="s">
        <v>233</v>
      </c>
      <c r="F232" s="168">
        <f>F231</f>
        <v>2590</v>
      </c>
      <c r="H232" s="212"/>
    </row>
    <row r="233" spans="2:8">
      <c r="D233" s="214" t="str">
        <f>IFERROR(VLOOKUP(E233,'PLANO DE CONTAS'!$C$6:$D$127,2,0),"")</f>
        <v/>
      </c>
      <c r="F233" s="168"/>
      <c r="H233" s="212"/>
    </row>
    <row r="234" spans="2:8">
      <c r="B234" s="160" t="s">
        <v>675</v>
      </c>
      <c r="C234" s="167" t="s">
        <v>184</v>
      </c>
      <c r="D234" s="214" t="str">
        <f>IFERROR(VLOOKUP(E234,'PLANO DE CONTAS'!$C$6:$D$127,2,0),"")</f>
        <v>2.1.3.07</v>
      </c>
      <c r="E234" s="158" t="s">
        <v>234</v>
      </c>
      <c r="F234" s="168">
        <f>F160</f>
        <v>50</v>
      </c>
      <c r="H234" s="453" t="s">
        <v>678</v>
      </c>
    </row>
    <row r="235" spans="2:8">
      <c r="C235" s="161" t="s">
        <v>185</v>
      </c>
      <c r="D235" s="214" t="str">
        <f>IFERROR(VLOOKUP(E235,'PLANO DE CONTAS'!$C$6:$D$127,2,0),"")</f>
        <v>1.1.4.05</v>
      </c>
      <c r="E235" s="158" t="s">
        <v>645</v>
      </c>
      <c r="F235" s="168">
        <f>F234</f>
        <v>50</v>
      </c>
      <c r="H235" s="453"/>
    </row>
    <row r="236" spans="2:8">
      <c r="D236" s="214"/>
      <c r="F236" s="168"/>
      <c r="H236" s="212"/>
    </row>
    <row r="237" spans="2:8">
      <c r="B237" s="160" t="s">
        <v>679</v>
      </c>
      <c r="C237" s="167" t="s">
        <v>184</v>
      </c>
      <c r="D237" s="214" t="str">
        <f>IFERROR(VLOOKUP(E237,'PLANO DE CONTAS'!$C$6:$D$127,2,0),"")</f>
        <v>3.2.1.02</v>
      </c>
      <c r="E237" s="158" t="s">
        <v>577</v>
      </c>
      <c r="F237" s="168">
        <v>59400</v>
      </c>
      <c r="H237" s="453" t="s">
        <v>680</v>
      </c>
    </row>
    <row r="238" spans="2:8">
      <c r="C238" s="161" t="s">
        <v>185</v>
      </c>
      <c r="D238" s="214" t="str">
        <f>IFERROR(VLOOKUP(E238,'PLANO DE CONTAS'!$C$6:$D$127,2,0),"")</f>
        <v>1.1.3.01</v>
      </c>
      <c r="E238" s="158" t="s">
        <v>19</v>
      </c>
      <c r="F238" s="168">
        <f>F237</f>
        <v>59400</v>
      </c>
      <c r="H238" s="453"/>
    </row>
    <row r="239" spans="2:8">
      <c r="B239" s="206"/>
      <c r="C239" s="210"/>
      <c r="D239" s="215"/>
      <c r="E239" s="205"/>
      <c r="F239" s="208"/>
      <c r="G239" s="208"/>
      <c r="H239" s="211"/>
    </row>
    <row r="243" spans="6:8">
      <c r="F243" s="275"/>
      <c r="H243" s="213"/>
    </row>
    <row r="244" spans="6:8">
      <c r="H244" s="213"/>
    </row>
    <row r="245" spans="6:8">
      <c r="H245" s="213"/>
    </row>
  </sheetData>
  <mergeCells count="63">
    <mergeCell ref="H134:H135"/>
    <mergeCell ref="H73:H74"/>
    <mergeCell ref="H76:H77"/>
    <mergeCell ref="H83:H84"/>
    <mergeCell ref="H86:H87"/>
    <mergeCell ref="H80:H81"/>
    <mergeCell ref="B2:H2"/>
    <mergeCell ref="H7:H8"/>
    <mergeCell ref="H10:H11"/>
    <mergeCell ref="H16:H17"/>
    <mergeCell ref="H19:H21"/>
    <mergeCell ref="H13:H14"/>
    <mergeCell ref="H23:H26"/>
    <mergeCell ref="H28:H29"/>
    <mergeCell ref="H50:H57"/>
    <mergeCell ref="H66:H67"/>
    <mergeCell ref="H44:H45"/>
    <mergeCell ref="H47:H48"/>
    <mergeCell ref="H59:H60"/>
    <mergeCell ref="H32:H34"/>
    <mergeCell ref="H36:H37"/>
    <mergeCell ref="H39:H42"/>
    <mergeCell ref="H62:H63"/>
    <mergeCell ref="H69:H71"/>
    <mergeCell ref="H131:H132"/>
    <mergeCell ref="H122:H129"/>
    <mergeCell ref="H89:H90"/>
    <mergeCell ref="H92:H93"/>
    <mergeCell ref="H108:H109"/>
    <mergeCell ref="H116:H117"/>
    <mergeCell ref="H119:H120"/>
    <mergeCell ref="H111:H114"/>
    <mergeCell ref="H95:H96"/>
    <mergeCell ref="H98:H99"/>
    <mergeCell ref="H102:H103"/>
    <mergeCell ref="H105:H106"/>
    <mergeCell ref="H144:H145"/>
    <mergeCell ref="H151:H152"/>
    <mergeCell ref="H155:H156"/>
    <mergeCell ref="H147:H149"/>
    <mergeCell ref="H137:H138"/>
    <mergeCell ref="H140:H141"/>
    <mergeCell ref="H159:H165"/>
    <mergeCell ref="H170:H171"/>
    <mergeCell ref="H208:H214"/>
    <mergeCell ref="H216:H217"/>
    <mergeCell ref="H173:H175"/>
    <mergeCell ref="H176:H178"/>
    <mergeCell ref="H190:H192"/>
    <mergeCell ref="H193:H195"/>
    <mergeCell ref="H201:H202"/>
    <mergeCell ref="H204:H205"/>
    <mergeCell ref="H196:H200"/>
    <mergeCell ref="H226:H227"/>
    <mergeCell ref="H229:H230"/>
    <mergeCell ref="H234:H235"/>
    <mergeCell ref="H237:H238"/>
    <mergeCell ref="H167:H168"/>
    <mergeCell ref="H180:H181"/>
    <mergeCell ref="H183:H184"/>
    <mergeCell ref="H187:H188"/>
    <mergeCell ref="H223:H224"/>
    <mergeCell ref="H220:H221"/>
  </mergeCells>
  <phoneticPr fontId="3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72924F-42E1-4EBF-B537-1F5FECE160F9}">
          <x14:formula1>
            <xm:f>'PLANO DE CONTAS'!$C$6:$C$128</xm:f>
          </x14:formula1>
          <xm:sqref>E7:E8 E66:E141 E253:E254 E59:E63 E10:E11 E13:E14 E16:E17 E19:E21 E23:E26 E28:E30 E32:E33 E36:E37 E39:E42 E44:E45 E47:E48 E50:E57 E143:E238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E06C2-F6F5-43F4-A078-743E95222098}">
  <dimension ref="A2:X133"/>
  <sheetViews>
    <sheetView showGridLines="0" showRowColHeaders="0" zoomScaleNormal="100" workbookViewId="0">
      <pane ySplit="3" topLeftCell="A4" activePane="bottomLeft" state="frozen"/>
      <selection pane="bottomLeft"/>
    </sheetView>
  </sheetViews>
  <sheetFormatPr defaultRowHeight="13.2"/>
  <cols>
    <col min="1" max="1" width="4.44140625" style="174" customWidth="1"/>
    <col min="2" max="2" width="5.88671875" style="175" bestFit="1" customWidth="1"/>
    <col min="3" max="3" width="12.109375" style="179" customWidth="1"/>
    <col min="4" max="4" width="11.6640625" style="179" bestFit="1" customWidth="1"/>
    <col min="5" max="5" width="3" style="175" bestFit="1" customWidth="1"/>
    <col min="6" max="6" width="7.109375" style="175" bestFit="1" customWidth="1"/>
    <col min="7" max="7" width="12.109375" style="179" customWidth="1"/>
    <col min="8" max="8" width="12.88671875" style="179" bestFit="1" customWidth="1"/>
    <col min="9" max="10" width="3" style="175" bestFit="1" customWidth="1"/>
    <col min="11" max="11" width="12.109375" style="179" customWidth="1"/>
    <col min="12" max="12" width="12.5546875" style="179" bestFit="1" customWidth="1"/>
    <col min="13" max="14" width="3" style="175" bestFit="1" customWidth="1"/>
    <col min="15" max="15" width="12.109375" style="179" customWidth="1"/>
    <col min="16" max="16" width="11.6640625" style="179" bestFit="1" customWidth="1"/>
    <col min="17" max="17" width="3" style="175" bestFit="1" customWidth="1"/>
    <col min="18" max="18" width="3" style="174" bestFit="1" customWidth="1"/>
    <col min="19" max="20" width="11.77734375" style="174" bestFit="1" customWidth="1"/>
    <col min="21" max="22" width="3" style="174" bestFit="1" customWidth="1"/>
    <col min="23" max="23" width="10.77734375" style="174" bestFit="1" customWidth="1"/>
    <col min="24" max="24" width="11.44140625" style="174" bestFit="1" customWidth="1"/>
    <col min="25" max="25" width="3" style="174" bestFit="1" customWidth="1"/>
    <col min="26" max="16384" width="8.88671875" style="174"/>
  </cols>
  <sheetData>
    <row r="2" spans="1:24">
      <c r="C2" s="460" t="s">
        <v>2</v>
      </c>
      <c r="D2" s="460"/>
      <c r="E2" s="176"/>
      <c r="F2" s="176"/>
      <c r="G2" s="460" t="s">
        <v>279</v>
      </c>
      <c r="H2" s="460"/>
      <c r="I2" s="176"/>
      <c r="J2" s="176"/>
      <c r="K2" s="460" t="s">
        <v>136</v>
      </c>
      <c r="L2" s="460"/>
      <c r="M2" s="176"/>
      <c r="N2" s="176"/>
      <c r="O2" s="460" t="s">
        <v>280</v>
      </c>
      <c r="P2" s="460"/>
      <c r="Q2" s="176"/>
      <c r="R2" s="177"/>
      <c r="S2" s="459" t="s">
        <v>281</v>
      </c>
      <c r="T2" s="459"/>
    </row>
    <row r="3" spans="1:24" ht="7.8" customHeight="1"/>
    <row r="4" spans="1:24" ht="7.8" customHeight="1"/>
    <row r="5" spans="1:24" s="178" customFormat="1">
      <c r="A5" s="174"/>
      <c r="B5" s="176"/>
      <c r="C5" s="457" t="s">
        <v>598</v>
      </c>
      <c r="D5" s="457"/>
      <c r="E5" s="176"/>
      <c r="F5" s="176"/>
      <c r="G5" s="456" t="s">
        <v>605</v>
      </c>
      <c r="H5" s="456"/>
      <c r="I5" s="176"/>
      <c r="J5" s="176"/>
      <c r="K5" s="458" t="s">
        <v>621</v>
      </c>
      <c r="L5" s="458"/>
      <c r="M5" s="176"/>
      <c r="N5" s="176"/>
      <c r="O5" s="455" t="s">
        <v>623</v>
      </c>
      <c r="P5" s="455"/>
      <c r="Q5" s="175"/>
      <c r="R5" s="174"/>
      <c r="S5" s="459" t="s">
        <v>637</v>
      </c>
      <c r="T5" s="459"/>
      <c r="U5" s="174"/>
      <c r="V5" s="174"/>
      <c r="W5" s="174"/>
      <c r="X5" s="174"/>
    </row>
    <row r="6" spans="1:24">
      <c r="B6" s="175">
        <v>3</v>
      </c>
      <c r="C6" s="179">
        <v>3000</v>
      </c>
      <c r="D6" s="180">
        <v>750</v>
      </c>
      <c r="E6" s="175">
        <v>22</v>
      </c>
      <c r="H6" s="181">
        <v>1000</v>
      </c>
      <c r="I6" s="175">
        <v>6</v>
      </c>
      <c r="L6" s="180">
        <v>60000</v>
      </c>
      <c r="M6" s="175">
        <v>8</v>
      </c>
      <c r="N6" s="175">
        <v>10</v>
      </c>
      <c r="O6" s="179">
        <v>3000</v>
      </c>
      <c r="P6" s="180"/>
      <c r="S6" s="182">
        <f>O6</f>
        <v>3000</v>
      </c>
      <c r="T6" s="183">
        <f>L6</f>
        <v>60000</v>
      </c>
    </row>
    <row r="7" spans="1:24">
      <c r="D7" s="181">
        <v>400</v>
      </c>
      <c r="E7" s="175">
        <v>23</v>
      </c>
      <c r="G7" s="296"/>
      <c r="H7" s="297">
        <v>80000</v>
      </c>
      <c r="I7" s="175">
        <v>7</v>
      </c>
      <c r="K7" s="296"/>
      <c r="L7" s="297">
        <v>90000</v>
      </c>
      <c r="M7" s="175">
        <v>19</v>
      </c>
      <c r="N7" s="175">
        <v>29</v>
      </c>
      <c r="O7" s="179">
        <v>4000</v>
      </c>
      <c r="P7" s="181"/>
      <c r="S7" s="182">
        <f>O18</f>
        <v>240</v>
      </c>
      <c r="T7" s="183">
        <f>L14</f>
        <v>3000</v>
      </c>
    </row>
    <row r="8" spans="1:24">
      <c r="C8" s="296"/>
      <c r="D8" s="297">
        <v>200</v>
      </c>
      <c r="E8" s="175">
        <v>27</v>
      </c>
      <c r="H8" s="298">
        <f>SUM(H6:H7)</f>
        <v>81000</v>
      </c>
      <c r="L8" s="298">
        <f>SUM(L6:L7)</f>
        <v>150000</v>
      </c>
      <c r="O8" s="274">
        <f>SUM(O6:O7)</f>
        <v>7000</v>
      </c>
      <c r="P8" s="180"/>
      <c r="S8" s="182">
        <f>O26</f>
        <v>834</v>
      </c>
      <c r="T8" s="318"/>
    </row>
    <row r="9" spans="1:24">
      <c r="C9" s="299">
        <f>SUM(C6:C8)</f>
        <v>3000</v>
      </c>
      <c r="D9" s="300">
        <f>SUM(D6:D8)</f>
        <v>1350</v>
      </c>
      <c r="F9" s="175">
        <v>21</v>
      </c>
      <c r="G9" s="184">
        <v>1000</v>
      </c>
      <c r="H9" s="181">
        <v>75000</v>
      </c>
      <c r="I9" s="175">
        <v>16</v>
      </c>
      <c r="K9" s="296"/>
      <c r="L9" s="297">
        <v>51000</v>
      </c>
      <c r="M9" s="175">
        <v>40</v>
      </c>
      <c r="N9" s="175">
        <v>48</v>
      </c>
      <c r="O9" s="296">
        <v>4000</v>
      </c>
      <c r="P9" s="297"/>
      <c r="S9" s="182">
        <f>O36</f>
        <v>150</v>
      </c>
      <c r="T9" s="318"/>
    </row>
    <row r="10" spans="1:24">
      <c r="B10" s="174"/>
      <c r="C10" s="313">
        <f>C9-D9</f>
        <v>1650</v>
      </c>
      <c r="D10" s="181"/>
      <c r="E10" s="174"/>
      <c r="F10" s="174">
        <v>26</v>
      </c>
      <c r="G10" s="296">
        <v>10000</v>
      </c>
      <c r="H10" s="297"/>
      <c r="L10" s="298">
        <f>L8+L9</f>
        <v>201000</v>
      </c>
      <c r="O10" s="301">
        <f>O8+O9</f>
        <v>11000</v>
      </c>
      <c r="P10" s="181"/>
      <c r="S10" s="182">
        <f>O44</f>
        <v>10800</v>
      </c>
      <c r="T10" s="318"/>
    </row>
    <row r="11" spans="1:24">
      <c r="B11" s="174"/>
      <c r="C11" s="174"/>
      <c r="D11" s="181">
        <v>250</v>
      </c>
      <c r="E11" s="175">
        <v>45</v>
      </c>
      <c r="G11" s="299">
        <f>SUM(G9:G10)</f>
        <v>11000</v>
      </c>
      <c r="H11" s="300">
        <f>SUM(H8:H10)</f>
        <v>156000</v>
      </c>
      <c r="L11" s="181"/>
      <c r="P11" s="181"/>
      <c r="S11" s="182">
        <f>O52</f>
        <v>409.5</v>
      </c>
      <c r="T11" s="318"/>
    </row>
    <row r="12" spans="1:24">
      <c r="B12" s="174"/>
      <c r="C12" s="174"/>
      <c r="D12" s="181">
        <v>400</v>
      </c>
      <c r="E12" s="175">
        <v>46</v>
      </c>
      <c r="H12" s="298">
        <f>H11-G11</f>
        <v>145000</v>
      </c>
      <c r="P12" s="181"/>
      <c r="S12" s="182">
        <f>O60</f>
        <v>1890</v>
      </c>
      <c r="T12" s="318"/>
    </row>
    <row r="13" spans="1:24">
      <c r="B13" s="174"/>
      <c r="C13" s="299">
        <f>SUM(C10:C12)</f>
        <v>1650</v>
      </c>
      <c r="D13" s="300">
        <f>SUM(D10:D12)</f>
        <v>650</v>
      </c>
      <c r="H13" s="181">
        <v>45000</v>
      </c>
      <c r="I13" s="175">
        <v>35</v>
      </c>
      <c r="J13" s="176"/>
      <c r="K13" s="458" t="s">
        <v>622</v>
      </c>
      <c r="L13" s="458"/>
      <c r="M13" s="176"/>
      <c r="P13" s="181"/>
      <c r="S13" s="182">
        <f>O68</f>
        <v>80.64</v>
      </c>
      <c r="T13" s="318"/>
    </row>
    <row r="14" spans="1:24">
      <c r="B14" s="174"/>
      <c r="C14" s="313">
        <f>C13-D13</f>
        <v>1000</v>
      </c>
      <c r="D14" s="181"/>
      <c r="G14" s="299">
        <f>SUM(G12:G13)</f>
        <v>0</v>
      </c>
      <c r="H14" s="300">
        <f>SUM(H12:H13)</f>
        <v>190000</v>
      </c>
      <c r="L14" s="180">
        <v>3000</v>
      </c>
      <c r="M14" s="175">
        <v>9</v>
      </c>
      <c r="P14" s="181"/>
      <c r="S14" s="315">
        <f t="shared" ref="S14" si="0">SUM(S6:S13)</f>
        <v>17404.14</v>
      </c>
      <c r="T14" s="316">
        <f>SUM(T6:T13)</f>
        <v>63000</v>
      </c>
    </row>
    <row r="15" spans="1:24">
      <c r="B15" s="174"/>
      <c r="C15" s="174"/>
      <c r="D15" s="181"/>
      <c r="H15" s="298">
        <f>H14-G14</f>
        <v>190000</v>
      </c>
      <c r="K15" s="296"/>
      <c r="L15" s="297">
        <v>5000</v>
      </c>
      <c r="M15" s="175">
        <v>20</v>
      </c>
      <c r="S15" s="182">
        <f>O7</f>
        <v>4000</v>
      </c>
      <c r="T15" s="317">
        <f>T14-S14</f>
        <v>45595.86</v>
      </c>
    </row>
    <row r="16" spans="1:24">
      <c r="H16" s="298"/>
      <c r="L16" s="298">
        <f>SUM(L14:L15)</f>
        <v>8000</v>
      </c>
      <c r="S16" s="182">
        <f>O19</f>
        <v>320</v>
      </c>
      <c r="T16" s="183">
        <f>L7</f>
        <v>90000</v>
      </c>
    </row>
    <row r="17" spans="2:23">
      <c r="B17" s="176"/>
      <c r="C17" s="457" t="s">
        <v>599</v>
      </c>
      <c r="D17" s="457"/>
      <c r="E17" s="176"/>
      <c r="H17" s="184"/>
      <c r="K17" s="296"/>
      <c r="L17" s="297">
        <v>5000</v>
      </c>
      <c r="M17" s="175">
        <v>38</v>
      </c>
      <c r="N17" s="176"/>
      <c r="O17" s="455" t="s">
        <v>590</v>
      </c>
      <c r="P17" s="455"/>
      <c r="Q17" s="176"/>
      <c r="S17" s="182">
        <f>O27</f>
        <v>1112</v>
      </c>
      <c r="T17" s="183">
        <f>L15</f>
        <v>5000</v>
      </c>
    </row>
    <row r="18" spans="2:23">
      <c r="B18" s="175">
        <v>2</v>
      </c>
      <c r="C18" s="179">
        <v>100000</v>
      </c>
      <c r="D18" s="180">
        <v>3000</v>
      </c>
      <c r="E18" s="175">
        <v>3</v>
      </c>
      <c r="F18" s="176"/>
      <c r="G18" s="456" t="s">
        <v>620</v>
      </c>
      <c r="H18" s="456"/>
      <c r="I18" s="176"/>
      <c r="L18" s="298">
        <f>L16+L17</f>
        <v>13000</v>
      </c>
      <c r="N18" s="175">
        <v>11</v>
      </c>
      <c r="O18" s="179">
        <v>240</v>
      </c>
      <c r="P18" s="180"/>
      <c r="S18" s="182">
        <f>O37</f>
        <v>250</v>
      </c>
      <c r="T18" s="183"/>
    </row>
    <row r="19" spans="2:23">
      <c r="B19" s="175">
        <v>9</v>
      </c>
      <c r="C19" s="179">
        <v>3000</v>
      </c>
      <c r="D19" s="181">
        <v>5219.3599999999997</v>
      </c>
      <c r="E19" s="175">
        <v>5</v>
      </c>
      <c r="F19" s="175">
        <v>5</v>
      </c>
      <c r="G19" s="299">
        <v>6000</v>
      </c>
      <c r="H19" s="300">
        <v>12000</v>
      </c>
      <c r="I19" s="175">
        <v>4</v>
      </c>
      <c r="L19" s="184"/>
      <c r="N19" s="175">
        <v>30</v>
      </c>
      <c r="O19" s="179">
        <v>320</v>
      </c>
      <c r="P19" s="181"/>
      <c r="S19" s="182">
        <f>O45</f>
        <v>10800</v>
      </c>
      <c r="T19" s="183"/>
    </row>
    <row r="20" spans="2:23">
      <c r="D20" s="181">
        <v>2000</v>
      </c>
      <c r="E20" s="175">
        <v>6</v>
      </c>
      <c r="H20" s="298">
        <f>H19-G19</f>
        <v>6000</v>
      </c>
      <c r="L20" s="184"/>
      <c r="O20" s="274">
        <f>SUM(O18:O19)</f>
        <v>560</v>
      </c>
      <c r="P20" s="180"/>
      <c r="S20" s="182">
        <f>O53</f>
        <v>617.5</v>
      </c>
      <c r="T20" s="183"/>
    </row>
    <row r="21" spans="2:23">
      <c r="D21" s="181">
        <v>80.64</v>
      </c>
      <c r="E21" s="175">
        <v>53</v>
      </c>
      <c r="H21" s="181"/>
      <c r="N21" s="175">
        <v>49</v>
      </c>
      <c r="O21" s="296">
        <v>320</v>
      </c>
      <c r="P21" s="297"/>
      <c r="S21" s="182">
        <f>O61</f>
        <v>2850</v>
      </c>
      <c r="T21" s="183"/>
    </row>
    <row r="22" spans="2:23">
      <c r="C22" s="267">
        <f>SUM(C18:C21)</f>
        <v>103000</v>
      </c>
      <c r="D22" s="266">
        <f>SUM(D18:D21)</f>
        <v>10300</v>
      </c>
      <c r="G22" s="175"/>
      <c r="H22" s="175"/>
      <c r="J22" s="176"/>
      <c r="K22" s="458" t="s">
        <v>667</v>
      </c>
      <c r="L22" s="458"/>
      <c r="O22" s="301">
        <f>O20+O21</f>
        <v>880</v>
      </c>
      <c r="P22" s="181"/>
      <c r="S22" s="182">
        <f>O69</f>
        <v>100.36</v>
      </c>
      <c r="T22" s="183"/>
      <c r="W22" s="182"/>
    </row>
    <row r="23" spans="2:23">
      <c r="C23" s="274">
        <f>C22-D22</f>
        <v>92700</v>
      </c>
      <c r="D23" s="180"/>
      <c r="F23" s="176"/>
      <c r="G23" s="456" t="s">
        <v>608</v>
      </c>
      <c r="H23" s="456"/>
      <c r="I23" s="176"/>
      <c r="K23" s="182"/>
      <c r="L23" s="181">
        <v>500</v>
      </c>
      <c r="M23" s="175">
        <v>42</v>
      </c>
      <c r="P23" s="181"/>
      <c r="S23" s="182">
        <f>O76</f>
        <v>1000</v>
      </c>
      <c r="T23" s="183"/>
    </row>
    <row r="24" spans="2:23">
      <c r="B24" s="175">
        <v>28</v>
      </c>
      <c r="C24" s="179">
        <v>20000</v>
      </c>
      <c r="D24" s="181">
        <v>2645</v>
      </c>
      <c r="E24" s="175">
        <v>15</v>
      </c>
      <c r="H24" s="180">
        <v>780.64</v>
      </c>
      <c r="I24" s="175">
        <v>5</v>
      </c>
      <c r="L24" s="181"/>
      <c r="O24" s="175"/>
      <c r="P24" s="175"/>
      <c r="S24" s="182">
        <f>O83</f>
        <v>40.049999999999997</v>
      </c>
      <c r="T24" s="183"/>
    </row>
    <row r="25" spans="2:23">
      <c r="D25" s="181">
        <v>5000</v>
      </c>
      <c r="E25" s="175">
        <v>18</v>
      </c>
      <c r="H25" s="181"/>
      <c r="L25" s="181"/>
      <c r="N25" s="176"/>
      <c r="O25" s="455" t="s">
        <v>588</v>
      </c>
      <c r="P25" s="455"/>
      <c r="S25" s="182">
        <f>O90</f>
        <v>200</v>
      </c>
      <c r="T25" s="183"/>
    </row>
    <row r="26" spans="2:23">
      <c r="D26" s="181">
        <v>1000</v>
      </c>
      <c r="E26" s="175">
        <v>21</v>
      </c>
      <c r="N26" s="175">
        <v>12</v>
      </c>
      <c r="O26" s="179">
        <v>834</v>
      </c>
      <c r="P26" s="180"/>
      <c r="S26" s="182">
        <f>O97</f>
        <v>750</v>
      </c>
      <c r="T26" s="183"/>
    </row>
    <row r="27" spans="2:23">
      <c r="D27" s="181">
        <v>1074</v>
      </c>
      <c r="E27" s="175">
        <v>24</v>
      </c>
      <c r="F27" s="176"/>
      <c r="G27" s="456" t="s">
        <v>606</v>
      </c>
      <c r="H27" s="456"/>
      <c r="I27" s="176"/>
      <c r="N27" s="175">
        <v>54</v>
      </c>
      <c r="O27" s="179">
        <v>1112</v>
      </c>
      <c r="P27" s="181"/>
      <c r="S27" s="182">
        <f>O104</f>
        <v>400</v>
      </c>
      <c r="T27" s="183"/>
    </row>
    <row r="28" spans="2:23">
      <c r="D28" s="181">
        <v>300</v>
      </c>
      <c r="E28" s="175">
        <v>25</v>
      </c>
      <c r="F28" s="175">
        <v>15</v>
      </c>
      <c r="G28" s="267">
        <v>2645</v>
      </c>
      <c r="H28" s="266">
        <v>2645</v>
      </c>
      <c r="I28" s="175">
        <v>10</v>
      </c>
      <c r="O28" s="274">
        <f>SUM(O26:O27)</f>
        <v>1946</v>
      </c>
      <c r="P28" s="180"/>
      <c r="S28" s="182">
        <f>O111</f>
        <v>60</v>
      </c>
      <c r="T28" s="181"/>
    </row>
    <row r="29" spans="2:23">
      <c r="D29" s="181">
        <v>10000</v>
      </c>
      <c r="E29" s="175">
        <v>26</v>
      </c>
      <c r="G29" s="265"/>
      <c r="H29" s="179">
        <v>3415</v>
      </c>
      <c r="I29" s="175">
        <v>29</v>
      </c>
      <c r="N29" s="175">
        <v>57</v>
      </c>
      <c r="O29" s="179">
        <v>1112</v>
      </c>
      <c r="P29" s="181"/>
      <c r="S29" s="315">
        <f>SUM(S14:S28)</f>
        <v>39904.050000000003</v>
      </c>
      <c r="T29" s="316">
        <f>SUM(T16:T28)+T14</f>
        <v>158000</v>
      </c>
    </row>
    <row r="30" spans="2:23">
      <c r="D30" s="181">
        <v>780.64</v>
      </c>
      <c r="E30" s="175">
        <v>54</v>
      </c>
      <c r="G30" s="267">
        <f>SUM(G28:G29)</f>
        <v>2645</v>
      </c>
      <c r="H30" s="266">
        <f>SUM(H28:H29)</f>
        <v>6060</v>
      </c>
      <c r="O30" s="274">
        <f>O28+O29</f>
        <v>3058</v>
      </c>
      <c r="P30" s="180"/>
      <c r="S30" s="182">
        <f>O9</f>
        <v>4000</v>
      </c>
      <c r="T30" s="317">
        <f>T29-S29</f>
        <v>118095.95</v>
      </c>
    </row>
    <row r="31" spans="2:23">
      <c r="D31" s="181">
        <v>100.36</v>
      </c>
      <c r="E31" s="175">
        <v>55</v>
      </c>
      <c r="G31" s="274"/>
      <c r="H31" s="314">
        <f>H30-G30</f>
        <v>3415</v>
      </c>
      <c r="P31" s="181"/>
      <c r="S31" s="182">
        <f>O21</f>
        <v>320</v>
      </c>
      <c r="T31" s="183">
        <f>L9</f>
        <v>51000</v>
      </c>
    </row>
    <row r="32" spans="2:23">
      <c r="C32" s="267">
        <f>SUM(C23:C31)</f>
        <v>112700</v>
      </c>
      <c r="D32" s="266">
        <f>SUM(D23:D31)</f>
        <v>20900</v>
      </c>
      <c r="F32" s="175">
        <v>34</v>
      </c>
      <c r="G32" s="179">
        <v>3415</v>
      </c>
      <c r="H32" s="181">
        <v>3415</v>
      </c>
      <c r="I32" s="175">
        <v>48</v>
      </c>
      <c r="P32" s="181"/>
      <c r="Q32" s="176"/>
      <c r="S32" s="182">
        <f>O29</f>
        <v>1112</v>
      </c>
      <c r="T32" s="183">
        <f>L17</f>
        <v>5000</v>
      </c>
    </row>
    <row r="33" spans="2:20">
      <c r="C33" s="274">
        <f>C32-D32</f>
        <v>91800</v>
      </c>
      <c r="D33" s="180"/>
      <c r="G33" s="267">
        <f>SUM(G31:G32)</f>
        <v>3415</v>
      </c>
      <c r="H33" s="266">
        <f>SUM(H31:H32)</f>
        <v>6830</v>
      </c>
      <c r="S33" s="182">
        <f>O39</f>
        <v>250</v>
      </c>
      <c r="T33" s="183">
        <f>L23</f>
        <v>500</v>
      </c>
    </row>
    <row r="34" spans="2:20">
      <c r="B34" s="175">
        <v>39</v>
      </c>
      <c r="C34" s="179">
        <v>5000</v>
      </c>
      <c r="D34" s="181">
        <v>3415</v>
      </c>
      <c r="E34" s="175">
        <v>34</v>
      </c>
      <c r="G34" s="274"/>
      <c r="H34" s="314">
        <f>H33-G33</f>
        <v>3415</v>
      </c>
      <c r="S34" s="182">
        <f>O47</f>
        <v>9180</v>
      </c>
      <c r="T34" s="183"/>
    </row>
    <row r="35" spans="2:20">
      <c r="B35" s="175">
        <v>42</v>
      </c>
      <c r="C35" s="179">
        <v>5500</v>
      </c>
      <c r="D35" s="181">
        <v>320</v>
      </c>
      <c r="E35" s="175">
        <v>36</v>
      </c>
      <c r="H35" s="181"/>
      <c r="N35" s="176"/>
      <c r="O35" s="455" t="s">
        <v>624</v>
      </c>
      <c r="P35" s="455"/>
      <c r="S35" s="182">
        <f>O55</f>
        <v>364</v>
      </c>
      <c r="T35" s="183"/>
    </row>
    <row r="36" spans="2:20">
      <c r="B36" s="175">
        <v>47</v>
      </c>
      <c r="C36" s="179">
        <v>20000</v>
      </c>
      <c r="D36" s="181">
        <v>900</v>
      </c>
      <c r="E36" s="175">
        <v>41</v>
      </c>
      <c r="N36" s="175">
        <v>13</v>
      </c>
      <c r="O36" s="179">
        <v>150</v>
      </c>
      <c r="P36" s="181"/>
      <c r="S36" s="182">
        <f>O63</f>
        <v>1680</v>
      </c>
      <c r="T36" s="183"/>
    </row>
    <row r="37" spans="2:20">
      <c r="D37" s="181">
        <v>1432</v>
      </c>
      <c r="E37" s="175">
        <v>43</v>
      </c>
      <c r="F37" s="176"/>
      <c r="G37" s="456" t="s">
        <v>607</v>
      </c>
      <c r="H37" s="456"/>
      <c r="I37" s="176"/>
      <c r="N37" s="175">
        <v>32</v>
      </c>
      <c r="O37" s="296">
        <v>250</v>
      </c>
      <c r="P37" s="297"/>
      <c r="S37" s="182">
        <f>O71</f>
        <v>103</v>
      </c>
      <c r="T37" s="183"/>
    </row>
    <row r="38" spans="2:20">
      <c r="D38" s="181">
        <v>130</v>
      </c>
      <c r="E38" s="175">
        <v>44</v>
      </c>
      <c r="H38" s="180">
        <v>240</v>
      </c>
      <c r="I38" s="175">
        <v>10</v>
      </c>
      <c r="O38" s="301">
        <f>SUM(O36:O37)</f>
        <v>400</v>
      </c>
      <c r="P38" s="181"/>
      <c r="S38" s="182">
        <f>O77</f>
        <v>1000</v>
      </c>
      <c r="T38" s="183"/>
    </row>
    <row r="39" spans="2:20">
      <c r="D39" s="181">
        <v>103</v>
      </c>
      <c r="E39" s="175">
        <v>59</v>
      </c>
      <c r="G39" s="296"/>
      <c r="H39" s="297">
        <v>834</v>
      </c>
      <c r="I39" s="175">
        <v>12</v>
      </c>
      <c r="N39" s="175">
        <v>51</v>
      </c>
      <c r="O39" s="179">
        <v>250</v>
      </c>
      <c r="P39" s="181"/>
      <c r="S39" s="182">
        <f>O84</f>
        <v>110.55</v>
      </c>
      <c r="T39" s="183"/>
    </row>
    <row r="40" spans="2:20">
      <c r="C40" s="267">
        <f>SUM(C33:C38)</f>
        <v>122300</v>
      </c>
      <c r="D40" s="266">
        <f>SUM(D33:D39)</f>
        <v>6300</v>
      </c>
      <c r="G40" s="184"/>
      <c r="H40" s="298">
        <f>SUM(H38:H39)</f>
        <v>1074</v>
      </c>
      <c r="O40" s="274">
        <f>O38+O39</f>
        <v>650</v>
      </c>
      <c r="P40" s="180"/>
      <c r="S40" s="182">
        <f>O91</f>
        <v>250</v>
      </c>
      <c r="T40" s="183"/>
    </row>
    <row r="41" spans="2:20">
      <c r="C41" s="274">
        <f>C40-D40</f>
        <v>116000</v>
      </c>
      <c r="D41" s="180"/>
      <c r="F41" s="175">
        <v>24</v>
      </c>
      <c r="G41" s="179">
        <v>1074</v>
      </c>
      <c r="H41" s="181">
        <v>320</v>
      </c>
      <c r="I41" s="175">
        <v>29</v>
      </c>
      <c r="P41" s="181"/>
      <c r="S41" s="182">
        <f>O98</f>
        <v>900</v>
      </c>
      <c r="T41" s="181"/>
    </row>
    <row r="42" spans="2:20">
      <c r="D42" s="181"/>
      <c r="H42" s="181">
        <v>1112</v>
      </c>
      <c r="I42" s="175">
        <v>54</v>
      </c>
      <c r="O42" s="175"/>
      <c r="P42" s="175"/>
      <c r="R42" s="175"/>
      <c r="S42" s="182">
        <f>O105</f>
        <v>400</v>
      </c>
      <c r="T42" s="181"/>
    </row>
    <row r="43" spans="2:20">
      <c r="G43" s="267">
        <f>SUM(G41:G42)</f>
        <v>1074</v>
      </c>
      <c r="H43" s="266">
        <f>SUM(H40:H42)</f>
        <v>2506</v>
      </c>
      <c r="K43" s="175"/>
      <c r="L43" s="175"/>
      <c r="N43" s="176"/>
      <c r="O43" s="455" t="s">
        <v>625</v>
      </c>
      <c r="P43" s="455"/>
      <c r="S43" s="182">
        <f>O112</f>
        <v>15</v>
      </c>
      <c r="T43" s="181"/>
    </row>
    <row r="44" spans="2:20">
      <c r="B44" s="176"/>
      <c r="C44" s="457" t="s">
        <v>600</v>
      </c>
      <c r="D44" s="457"/>
      <c r="E44" s="176"/>
      <c r="G44" s="266"/>
      <c r="H44" s="314">
        <f>H43-G43</f>
        <v>1432</v>
      </c>
      <c r="N44" s="175">
        <v>13</v>
      </c>
      <c r="O44" s="179">
        <f>60000*18%</f>
        <v>10800</v>
      </c>
      <c r="P44" s="180"/>
      <c r="S44" s="182">
        <f>O119</f>
        <v>3111</v>
      </c>
      <c r="T44" s="181"/>
    </row>
    <row r="45" spans="2:20">
      <c r="B45" s="175">
        <v>8</v>
      </c>
      <c r="C45" s="179">
        <v>60000</v>
      </c>
      <c r="D45" s="180">
        <v>20000</v>
      </c>
      <c r="E45" s="175">
        <v>28</v>
      </c>
      <c r="F45" s="175">
        <v>42</v>
      </c>
      <c r="G45" s="179">
        <v>1432</v>
      </c>
      <c r="H45" s="181">
        <v>320</v>
      </c>
      <c r="I45" s="175">
        <v>48</v>
      </c>
      <c r="N45" s="175">
        <v>32</v>
      </c>
      <c r="O45" s="296">
        <f>90000*12%</f>
        <v>10800</v>
      </c>
      <c r="P45" s="297"/>
      <c r="S45" s="182">
        <f>O123</f>
        <v>2590</v>
      </c>
      <c r="T45" s="181"/>
    </row>
    <row r="46" spans="2:20">
      <c r="B46" s="175">
        <v>19</v>
      </c>
      <c r="C46" s="179">
        <v>90000</v>
      </c>
      <c r="D46" s="181"/>
      <c r="H46" s="181">
        <v>1112</v>
      </c>
      <c r="I46" s="175">
        <v>57</v>
      </c>
      <c r="O46" s="301">
        <f>SUM(O44:O45)</f>
        <v>21600</v>
      </c>
      <c r="P46" s="181"/>
      <c r="S46" s="182">
        <f>O127</f>
        <v>59400</v>
      </c>
      <c r="T46" s="181"/>
    </row>
    <row r="47" spans="2:20">
      <c r="B47" s="175">
        <v>20</v>
      </c>
      <c r="C47" s="179">
        <v>5000</v>
      </c>
      <c r="D47" s="181"/>
      <c r="G47" s="267">
        <f>SUM(G44:G46)</f>
        <v>1432</v>
      </c>
      <c r="H47" s="266">
        <f>SUM(H44:H46)</f>
        <v>2864</v>
      </c>
      <c r="N47" s="175">
        <v>51</v>
      </c>
      <c r="O47" s="179">
        <v>9180</v>
      </c>
      <c r="P47" s="181"/>
      <c r="S47" s="315">
        <f>SUM(S29:S46)</f>
        <v>124689.60000000001</v>
      </c>
      <c r="T47" s="316">
        <f>SUM(T31:T37)+T29</f>
        <v>214500</v>
      </c>
    </row>
    <row r="48" spans="2:20">
      <c r="C48" s="267">
        <f>SUM(C45:C47)</f>
        <v>155000</v>
      </c>
      <c r="D48" s="266">
        <f>SUM(D45:D47)</f>
        <v>20000</v>
      </c>
      <c r="G48" s="266"/>
      <c r="H48" s="314">
        <f>H47-G47</f>
        <v>1432</v>
      </c>
      <c r="O48" s="274">
        <f>O46+O47</f>
        <v>30780</v>
      </c>
      <c r="P48" s="180"/>
      <c r="S48" s="182"/>
      <c r="T48" s="317">
        <f>T47-S47</f>
        <v>89810.4</v>
      </c>
    </row>
    <row r="49" spans="2:20">
      <c r="C49" s="274">
        <f>C48-D48</f>
        <v>135000</v>
      </c>
      <c r="D49" s="180"/>
      <c r="H49" s="181"/>
      <c r="P49" s="181"/>
      <c r="S49" s="182"/>
      <c r="T49" s="181"/>
    </row>
    <row r="50" spans="2:20">
      <c r="B50" s="175">
        <v>38</v>
      </c>
      <c r="C50" s="179">
        <v>4617.5</v>
      </c>
      <c r="D50" s="181">
        <v>5000</v>
      </c>
      <c r="E50" s="175">
        <v>40</v>
      </c>
      <c r="F50" s="176"/>
      <c r="I50" s="176"/>
      <c r="S50" s="182"/>
      <c r="T50" s="181"/>
    </row>
    <row r="51" spans="2:20">
      <c r="B51" s="175">
        <v>40</v>
      </c>
      <c r="C51" s="179">
        <v>51000</v>
      </c>
      <c r="D51" s="181">
        <v>5000</v>
      </c>
      <c r="E51" s="175">
        <v>42</v>
      </c>
      <c r="G51" s="456" t="s">
        <v>609</v>
      </c>
      <c r="H51" s="456"/>
      <c r="N51" s="176"/>
      <c r="O51" s="455" t="s">
        <v>626</v>
      </c>
      <c r="P51" s="455"/>
    </row>
    <row r="52" spans="2:20">
      <c r="D52" s="181">
        <v>20000</v>
      </c>
      <c r="E52" s="175">
        <v>47</v>
      </c>
      <c r="H52" s="180">
        <v>115</v>
      </c>
      <c r="I52" s="175">
        <v>10</v>
      </c>
      <c r="N52" s="175">
        <v>13</v>
      </c>
      <c r="O52" s="179">
        <v>409.5</v>
      </c>
      <c r="P52" s="180"/>
    </row>
    <row r="53" spans="2:20">
      <c r="C53" s="267">
        <f>SUM(C49:C52)</f>
        <v>190617.5</v>
      </c>
      <c r="D53" s="266">
        <f>SUM(D49:D52)</f>
        <v>30000</v>
      </c>
      <c r="G53" s="296"/>
      <c r="H53" s="297">
        <v>265</v>
      </c>
      <c r="I53" s="175">
        <v>29</v>
      </c>
      <c r="N53" s="175">
        <v>32</v>
      </c>
      <c r="O53" s="296">
        <v>617.5</v>
      </c>
      <c r="P53" s="297"/>
    </row>
    <row r="54" spans="2:20">
      <c r="C54" s="274">
        <f>C53-D53</f>
        <v>160617.5</v>
      </c>
      <c r="D54" s="180"/>
      <c r="G54" s="184"/>
      <c r="H54" s="298">
        <f>SUM(H52:H53)</f>
        <v>380</v>
      </c>
      <c r="O54" s="301">
        <f>SUM(O52:O53)</f>
        <v>1027</v>
      </c>
      <c r="P54" s="181"/>
    </row>
    <row r="55" spans="2:20">
      <c r="D55" s="181"/>
      <c r="F55" s="175">
        <v>44</v>
      </c>
      <c r="G55" s="179">
        <v>115</v>
      </c>
      <c r="H55" s="181">
        <v>265</v>
      </c>
      <c r="I55" s="175">
        <v>48</v>
      </c>
      <c r="N55" s="175">
        <v>51</v>
      </c>
      <c r="O55" s="179">
        <v>364</v>
      </c>
      <c r="P55" s="181"/>
    </row>
    <row r="56" spans="2:20">
      <c r="G56" s="267">
        <f>SUM(G54:G55)</f>
        <v>115</v>
      </c>
      <c r="H56" s="266">
        <f>SUM(H54:H55)</f>
        <v>645</v>
      </c>
      <c r="O56" s="274">
        <f>O54+O55</f>
        <v>1391</v>
      </c>
      <c r="P56" s="180"/>
    </row>
    <row r="57" spans="2:20">
      <c r="B57" s="176"/>
      <c r="C57" s="457" t="s">
        <v>602</v>
      </c>
      <c r="D57" s="457"/>
      <c r="G57" s="266"/>
      <c r="H57" s="314">
        <f>H56-G56</f>
        <v>530</v>
      </c>
      <c r="P57" s="181"/>
    </row>
    <row r="58" spans="2:20">
      <c r="B58" s="175">
        <v>6</v>
      </c>
      <c r="C58" s="179">
        <v>330</v>
      </c>
      <c r="D58" s="180">
        <v>5606.88</v>
      </c>
      <c r="E58" s="175">
        <v>14</v>
      </c>
      <c r="H58" s="181"/>
    </row>
    <row r="59" spans="2:20">
      <c r="B59" s="175">
        <v>7</v>
      </c>
      <c r="C59" s="296">
        <v>5600</v>
      </c>
      <c r="D59" s="297"/>
      <c r="F59" s="176"/>
      <c r="I59" s="176"/>
      <c r="N59" s="176"/>
      <c r="O59" s="455" t="s">
        <v>627</v>
      </c>
      <c r="P59" s="455"/>
    </row>
    <row r="60" spans="2:20">
      <c r="C60" s="299">
        <f>SUM(C58:C59)</f>
        <v>5930</v>
      </c>
      <c r="D60" s="300">
        <f>SUM(D58:D59)</f>
        <v>5606.88</v>
      </c>
      <c r="G60" s="456" t="s">
        <v>610</v>
      </c>
      <c r="H60" s="456"/>
      <c r="N60" s="175">
        <v>13</v>
      </c>
      <c r="O60" s="179">
        <v>1890</v>
      </c>
      <c r="P60" s="180"/>
    </row>
    <row r="61" spans="2:20">
      <c r="C61" s="301">
        <f>C60-D60</f>
        <v>323.11999999999989</v>
      </c>
      <c r="D61" s="181"/>
      <c r="F61" s="175">
        <v>25</v>
      </c>
      <c r="G61" s="179">
        <v>240</v>
      </c>
      <c r="H61" s="180">
        <v>240</v>
      </c>
      <c r="I61" s="175">
        <v>11</v>
      </c>
      <c r="N61" s="175">
        <v>32</v>
      </c>
      <c r="O61" s="296">
        <v>2850</v>
      </c>
      <c r="P61" s="297"/>
    </row>
    <row r="62" spans="2:20">
      <c r="B62" s="175">
        <v>16</v>
      </c>
      <c r="C62" s="179">
        <v>9000</v>
      </c>
      <c r="D62" s="181">
        <v>9013.1299999999992</v>
      </c>
      <c r="E62" s="175">
        <v>33</v>
      </c>
      <c r="H62" s="181">
        <v>320</v>
      </c>
      <c r="I62" s="175">
        <v>30</v>
      </c>
      <c r="O62" s="301">
        <f>SUM(O60:O61)</f>
        <v>4740</v>
      </c>
      <c r="P62" s="181"/>
    </row>
    <row r="63" spans="2:20">
      <c r="B63" s="175">
        <v>18</v>
      </c>
      <c r="C63" s="179">
        <v>300</v>
      </c>
      <c r="D63" s="181"/>
      <c r="G63" s="299">
        <f>SUM(G61:G62)</f>
        <v>240</v>
      </c>
      <c r="H63" s="300">
        <f>SUM(H61:H62)</f>
        <v>560</v>
      </c>
      <c r="N63" s="175">
        <v>51</v>
      </c>
      <c r="O63" s="179">
        <v>1680</v>
      </c>
      <c r="P63" s="181"/>
    </row>
    <row r="64" spans="2:20">
      <c r="C64" s="299">
        <f>SUM(C61:C63)</f>
        <v>9623.119999999999</v>
      </c>
      <c r="D64" s="300">
        <f>SUM(D62:D63)</f>
        <v>9013.1299999999992</v>
      </c>
      <c r="G64" s="301"/>
      <c r="H64" s="298">
        <f>H63-G63</f>
        <v>320</v>
      </c>
      <c r="O64" s="274">
        <f>O62+O63</f>
        <v>6420</v>
      </c>
      <c r="P64" s="180"/>
    </row>
    <row r="65" spans="2:16">
      <c r="C65" s="301">
        <f>C64-D64+0.01</f>
        <v>609.99999999999977</v>
      </c>
      <c r="D65" s="181"/>
      <c r="F65" s="175">
        <v>36</v>
      </c>
      <c r="G65" s="179">
        <v>320</v>
      </c>
      <c r="H65" s="181">
        <v>320</v>
      </c>
      <c r="I65" s="175">
        <v>49</v>
      </c>
      <c r="P65" s="181"/>
    </row>
    <row r="66" spans="2:16">
      <c r="B66" s="175">
        <v>35</v>
      </c>
      <c r="C66" s="179">
        <v>3150</v>
      </c>
      <c r="D66" s="181">
        <v>3613.13</v>
      </c>
      <c r="E66" s="175">
        <v>52</v>
      </c>
      <c r="G66" s="299">
        <f>SUM(G64:G65)</f>
        <v>320</v>
      </c>
      <c r="H66" s="300">
        <f>SUM(H64:H65)</f>
        <v>640</v>
      </c>
    </row>
    <row r="67" spans="2:16">
      <c r="C67" s="299">
        <f>SUM(C65:C66)</f>
        <v>3760</v>
      </c>
      <c r="D67" s="300">
        <f>SUM(D65:D66)</f>
        <v>3613.13</v>
      </c>
      <c r="G67" s="301"/>
      <c r="H67" s="298">
        <f>H66-G66</f>
        <v>320</v>
      </c>
      <c r="N67" s="176"/>
      <c r="O67" s="455" t="s">
        <v>628</v>
      </c>
      <c r="P67" s="455"/>
    </row>
    <row r="68" spans="2:16">
      <c r="C68" s="301">
        <f>C67-D67+0.01</f>
        <v>146.87999999999988</v>
      </c>
      <c r="D68" s="181"/>
      <c r="H68" s="181"/>
      <c r="N68" s="175">
        <v>53</v>
      </c>
      <c r="O68" s="179">
        <v>80.64</v>
      </c>
      <c r="P68" s="180"/>
    </row>
    <row r="69" spans="2:16">
      <c r="C69" s="301"/>
      <c r="D69" s="181"/>
      <c r="G69" s="175"/>
      <c r="H69" s="175"/>
      <c r="N69" s="175">
        <v>56</v>
      </c>
      <c r="O69" s="296">
        <v>100.36</v>
      </c>
      <c r="P69" s="297"/>
    </row>
    <row r="70" spans="2:16">
      <c r="C70" s="175"/>
      <c r="D70" s="175"/>
      <c r="F70" s="176"/>
      <c r="G70" s="456" t="s">
        <v>611</v>
      </c>
      <c r="H70" s="456"/>
      <c r="I70" s="176"/>
      <c r="O70" s="301">
        <f>SUM(O68:O69)</f>
        <v>181</v>
      </c>
      <c r="P70" s="181"/>
    </row>
    <row r="71" spans="2:16">
      <c r="B71" s="176"/>
      <c r="C71" s="457" t="s">
        <v>603</v>
      </c>
      <c r="D71" s="457"/>
      <c r="E71" s="176"/>
      <c r="H71" s="180">
        <v>150</v>
      </c>
      <c r="I71" s="175">
        <v>13</v>
      </c>
      <c r="N71" s="175">
        <v>59</v>
      </c>
      <c r="O71" s="179">
        <v>103</v>
      </c>
      <c r="P71" s="181"/>
    </row>
    <row r="72" spans="2:16">
      <c r="B72" s="175">
        <v>4</v>
      </c>
      <c r="C72" s="179">
        <v>12000</v>
      </c>
      <c r="D72" s="180">
        <v>1000</v>
      </c>
      <c r="E72" s="175">
        <v>17</v>
      </c>
      <c r="G72" s="296"/>
      <c r="H72" s="297">
        <v>250</v>
      </c>
      <c r="I72" s="175">
        <v>32</v>
      </c>
      <c r="O72" s="274">
        <f>O70+O71</f>
        <v>284</v>
      </c>
      <c r="P72" s="180"/>
    </row>
    <row r="73" spans="2:16">
      <c r="D73" s="181">
        <v>1000</v>
      </c>
      <c r="E73" s="175">
        <v>37</v>
      </c>
      <c r="H73" s="298">
        <f>SUM(H71:H72)</f>
        <v>400</v>
      </c>
      <c r="P73" s="181"/>
    </row>
    <row r="74" spans="2:16">
      <c r="C74" s="299">
        <f>SUM(C72:C73)</f>
        <v>12000</v>
      </c>
      <c r="D74" s="300">
        <f>SUM(D72:D73)</f>
        <v>2000</v>
      </c>
      <c r="H74" s="181">
        <v>250</v>
      </c>
      <c r="I74" s="175">
        <v>51</v>
      </c>
    </row>
    <row r="75" spans="2:16">
      <c r="C75" s="301">
        <f>C74-D74</f>
        <v>10000</v>
      </c>
      <c r="D75" s="181"/>
      <c r="H75" s="181">
        <v>100</v>
      </c>
      <c r="I75" s="175">
        <v>58</v>
      </c>
      <c r="N75" s="176"/>
      <c r="O75" s="455" t="s">
        <v>654</v>
      </c>
      <c r="P75" s="455"/>
    </row>
    <row r="76" spans="2:16">
      <c r="D76" s="181"/>
      <c r="G76" s="299">
        <f>SUM(G74:G75)</f>
        <v>0</v>
      </c>
      <c r="H76" s="300">
        <f>SUM(H73:H75)</f>
        <v>750</v>
      </c>
      <c r="N76" s="175">
        <v>17</v>
      </c>
      <c r="O76" s="179">
        <v>1000</v>
      </c>
      <c r="P76" s="180"/>
    </row>
    <row r="77" spans="2:16">
      <c r="D77" s="184"/>
      <c r="G77" s="301"/>
      <c r="H77" s="298">
        <f>H76-G76</f>
        <v>750</v>
      </c>
      <c r="N77" s="175">
        <v>37</v>
      </c>
      <c r="O77" s="179">
        <v>1000</v>
      </c>
      <c r="P77" s="181"/>
    </row>
    <row r="78" spans="2:16">
      <c r="C78" s="457" t="s">
        <v>601</v>
      </c>
      <c r="D78" s="457"/>
      <c r="O78" s="274">
        <f>O76+O77</f>
        <v>2000</v>
      </c>
      <c r="P78" s="180"/>
    </row>
    <row r="79" spans="2:16">
      <c r="B79" s="175">
        <v>7</v>
      </c>
      <c r="C79" s="179">
        <v>74400</v>
      </c>
      <c r="D79" s="180"/>
      <c r="F79" s="176"/>
      <c r="G79" s="456" t="s">
        <v>612</v>
      </c>
      <c r="H79" s="456"/>
      <c r="I79" s="176"/>
      <c r="P79" s="181"/>
    </row>
    <row r="80" spans="2:16">
      <c r="B80" s="175">
        <v>16</v>
      </c>
      <c r="C80" s="296">
        <v>66000</v>
      </c>
      <c r="D80" s="297"/>
      <c r="F80" s="175">
        <v>14</v>
      </c>
      <c r="G80" s="299">
        <v>5606.88</v>
      </c>
      <c r="H80" s="300">
        <v>10800</v>
      </c>
      <c r="I80" s="175">
        <v>13</v>
      </c>
      <c r="P80" s="181"/>
    </row>
    <row r="81" spans="2:16">
      <c r="C81" s="301">
        <f>SUM(C79:C80)</f>
        <v>140400</v>
      </c>
      <c r="D81" s="181"/>
      <c r="H81" s="298">
        <f>H80-G80</f>
        <v>5193.12</v>
      </c>
    </row>
    <row r="82" spans="2:16">
      <c r="B82" s="175">
        <v>35</v>
      </c>
      <c r="C82" s="179">
        <v>41850</v>
      </c>
      <c r="D82" s="181"/>
      <c r="F82" s="175">
        <v>33</v>
      </c>
      <c r="G82" s="296">
        <v>9013.1299999999992</v>
      </c>
      <c r="H82" s="297">
        <v>10800</v>
      </c>
      <c r="I82" s="175">
        <v>32</v>
      </c>
      <c r="N82" s="176"/>
      <c r="O82" s="455" t="s">
        <v>657</v>
      </c>
      <c r="P82" s="455"/>
    </row>
    <row r="83" spans="2:16">
      <c r="C83" s="299">
        <f>SUM(C81:C82)</f>
        <v>182250</v>
      </c>
      <c r="D83" s="300">
        <f>SUM(D81:D82)</f>
        <v>0</v>
      </c>
      <c r="G83" s="299">
        <f>SUM(G82)</f>
        <v>9013.1299999999992</v>
      </c>
      <c r="H83" s="300">
        <f>SUM(H81:H82)</f>
        <v>15993.119999999999</v>
      </c>
      <c r="N83" s="175">
        <v>31</v>
      </c>
      <c r="O83" s="179">
        <v>40.049999999999997</v>
      </c>
      <c r="P83" s="180"/>
    </row>
    <row r="84" spans="2:16">
      <c r="C84" s="301">
        <f>C83-D83</f>
        <v>182250</v>
      </c>
      <c r="D84" s="181"/>
      <c r="F84" s="176"/>
      <c r="H84" s="298">
        <f>H83-G83+0.01</f>
        <v>6980</v>
      </c>
      <c r="I84" s="176"/>
      <c r="N84" s="175">
        <v>50</v>
      </c>
      <c r="O84" s="179">
        <v>110.55</v>
      </c>
      <c r="P84" s="181"/>
    </row>
    <row r="85" spans="2:16">
      <c r="C85" s="301"/>
      <c r="D85" s="181">
        <v>59400</v>
      </c>
      <c r="E85" s="175">
        <v>62</v>
      </c>
      <c r="F85" s="175">
        <v>52</v>
      </c>
      <c r="G85" s="179">
        <v>3613.13</v>
      </c>
      <c r="H85" s="181">
        <v>9180</v>
      </c>
      <c r="I85" s="175">
        <v>51</v>
      </c>
      <c r="O85" s="274">
        <f>O83+O84</f>
        <v>150.6</v>
      </c>
      <c r="P85" s="180"/>
    </row>
    <row r="86" spans="2:16">
      <c r="C86" s="299">
        <f>SUM(C84:C85)</f>
        <v>182250</v>
      </c>
      <c r="D86" s="300">
        <f>SUM(D84:D85)</f>
        <v>59400</v>
      </c>
      <c r="G86" s="299">
        <f>SUM(G85)</f>
        <v>3613.13</v>
      </c>
      <c r="H86" s="300">
        <f>SUM(H84:H85)</f>
        <v>16160</v>
      </c>
      <c r="P86" s="181"/>
    </row>
    <row r="87" spans="2:16">
      <c r="C87" s="301">
        <f>C86-D86</f>
        <v>122850</v>
      </c>
      <c r="D87" s="181"/>
      <c r="H87" s="298">
        <f>H86-G86+0.01</f>
        <v>12546.88</v>
      </c>
      <c r="P87" s="181"/>
    </row>
    <row r="88" spans="2:16">
      <c r="B88" s="176"/>
      <c r="H88" s="298"/>
    </row>
    <row r="89" spans="2:16">
      <c r="C89" s="457" t="s">
        <v>604</v>
      </c>
      <c r="D89" s="457"/>
      <c r="N89" s="176"/>
      <c r="O89" s="455" t="s">
        <v>660</v>
      </c>
      <c r="P89" s="455"/>
    </row>
    <row r="90" spans="2:16">
      <c r="B90" s="175">
        <v>6</v>
      </c>
      <c r="C90" s="179">
        <v>2670</v>
      </c>
      <c r="D90" s="180"/>
      <c r="G90" s="456" t="s">
        <v>613</v>
      </c>
      <c r="H90" s="456"/>
      <c r="N90" s="175">
        <v>27</v>
      </c>
      <c r="O90" s="179">
        <v>200</v>
      </c>
      <c r="P90" s="180"/>
    </row>
    <row r="91" spans="2:16">
      <c r="D91" s="181"/>
      <c r="H91" s="180">
        <v>409.5</v>
      </c>
      <c r="I91" s="175">
        <v>13</v>
      </c>
      <c r="N91" s="175">
        <v>45</v>
      </c>
      <c r="O91" s="179">
        <v>250</v>
      </c>
      <c r="P91" s="181"/>
    </row>
    <row r="92" spans="2:16">
      <c r="D92" s="181"/>
      <c r="G92" s="296"/>
      <c r="H92" s="297">
        <v>617.5</v>
      </c>
      <c r="I92" s="175">
        <v>32</v>
      </c>
      <c r="O92" s="274">
        <f>O90+O91</f>
        <v>450</v>
      </c>
      <c r="P92" s="180"/>
    </row>
    <row r="93" spans="2:16">
      <c r="B93" s="176"/>
      <c r="H93" s="298">
        <f>SUM(H91:H92)</f>
        <v>1027</v>
      </c>
      <c r="P93" s="181"/>
    </row>
    <row r="94" spans="2:16">
      <c r="C94" s="457" t="s">
        <v>653</v>
      </c>
      <c r="D94" s="457"/>
      <c r="H94" s="181">
        <v>364</v>
      </c>
      <c r="I94" s="175">
        <v>51</v>
      </c>
      <c r="P94" s="181"/>
    </row>
    <row r="95" spans="2:16">
      <c r="B95" s="175">
        <v>18</v>
      </c>
      <c r="C95" s="179">
        <v>4700</v>
      </c>
      <c r="D95" s="180"/>
      <c r="F95" s="176"/>
      <c r="G95" s="299">
        <f>SUM(G94)</f>
        <v>0</v>
      </c>
      <c r="H95" s="300">
        <f>SUM(H93:H94)</f>
        <v>1391</v>
      </c>
      <c r="I95" s="176"/>
    </row>
    <row r="96" spans="2:16">
      <c r="D96" s="181"/>
      <c r="H96" s="298">
        <f>H95-G95+0.01</f>
        <v>1391.01</v>
      </c>
      <c r="N96" s="176"/>
      <c r="O96" s="455" t="s">
        <v>659</v>
      </c>
      <c r="P96" s="455"/>
    </row>
    <row r="97" spans="2:16">
      <c r="D97" s="181"/>
      <c r="H97" s="298"/>
      <c r="N97" s="175">
        <v>22</v>
      </c>
      <c r="O97" s="179">
        <v>750</v>
      </c>
      <c r="P97" s="180"/>
    </row>
    <row r="98" spans="2:16">
      <c r="N98" s="175">
        <v>41</v>
      </c>
      <c r="O98" s="179">
        <v>900</v>
      </c>
      <c r="P98" s="181"/>
    </row>
    <row r="99" spans="2:16">
      <c r="C99" s="457" t="s">
        <v>656</v>
      </c>
      <c r="D99" s="457"/>
      <c r="G99" s="456" t="s">
        <v>614</v>
      </c>
      <c r="H99" s="456"/>
      <c r="O99" s="274">
        <f>O97+O98</f>
        <v>1650</v>
      </c>
      <c r="P99" s="180"/>
    </row>
    <row r="100" spans="2:16">
      <c r="B100" s="175">
        <v>31</v>
      </c>
      <c r="D100" s="180">
        <v>40.049999999999997</v>
      </c>
      <c r="H100" s="180">
        <v>1890</v>
      </c>
      <c r="I100" s="175">
        <v>13</v>
      </c>
      <c r="P100" s="181"/>
    </row>
    <row r="101" spans="2:16">
      <c r="D101" s="181">
        <v>110.55</v>
      </c>
      <c r="E101" s="175">
        <v>50</v>
      </c>
      <c r="H101" s="181">
        <v>2850</v>
      </c>
      <c r="I101" s="175">
        <v>32</v>
      </c>
      <c r="P101" s="181"/>
    </row>
    <row r="102" spans="2:16">
      <c r="D102" s="181"/>
      <c r="G102" s="266"/>
      <c r="H102" s="314">
        <f>SUM(H100:H101)</f>
        <v>4740</v>
      </c>
    </row>
    <row r="103" spans="2:16">
      <c r="H103" s="181">
        <v>1680</v>
      </c>
      <c r="I103" s="175">
        <v>51</v>
      </c>
      <c r="N103" s="176"/>
      <c r="O103" s="455" t="s">
        <v>658</v>
      </c>
      <c r="P103" s="455"/>
    </row>
    <row r="104" spans="2:16">
      <c r="C104" s="457" t="s">
        <v>662</v>
      </c>
      <c r="D104" s="457"/>
      <c r="F104" s="176"/>
      <c r="G104" s="299">
        <f>SUM(G103)</f>
        <v>0</v>
      </c>
      <c r="H104" s="300">
        <f>SUM(H102:H103)</f>
        <v>6420</v>
      </c>
      <c r="I104" s="176"/>
      <c r="N104" s="175">
        <v>23</v>
      </c>
      <c r="O104" s="179">
        <v>400</v>
      </c>
      <c r="P104" s="180"/>
    </row>
    <row r="105" spans="2:16">
      <c r="B105" s="175">
        <v>38</v>
      </c>
      <c r="C105" s="179">
        <v>50</v>
      </c>
      <c r="D105" s="180"/>
      <c r="H105" s="298">
        <f>H104-G104+0.01</f>
        <v>6420.01</v>
      </c>
      <c r="N105" s="175">
        <v>46</v>
      </c>
      <c r="O105" s="179">
        <v>400</v>
      </c>
      <c r="P105" s="181"/>
    </row>
    <row r="106" spans="2:16">
      <c r="D106" s="181"/>
      <c r="H106" s="181"/>
      <c r="O106" s="274">
        <f>O104+O105</f>
        <v>800</v>
      </c>
      <c r="P106" s="180"/>
    </row>
    <row r="107" spans="2:16">
      <c r="P107" s="181"/>
    </row>
    <row r="108" spans="2:16">
      <c r="C108" s="457" t="s">
        <v>663</v>
      </c>
      <c r="D108" s="457"/>
      <c r="G108" s="456" t="s">
        <v>615</v>
      </c>
      <c r="H108" s="456"/>
      <c r="P108" s="181"/>
    </row>
    <row r="109" spans="2:16">
      <c r="B109" s="175">
        <v>38</v>
      </c>
      <c r="C109" s="179">
        <v>50</v>
      </c>
      <c r="D109" s="180"/>
      <c r="F109" s="175">
        <v>61</v>
      </c>
      <c r="G109" s="179">
        <v>50</v>
      </c>
      <c r="H109" s="180">
        <v>31111</v>
      </c>
      <c r="I109" s="175">
        <v>60</v>
      </c>
    </row>
    <row r="110" spans="2:16">
      <c r="D110" s="181"/>
      <c r="H110" s="181"/>
      <c r="N110" s="176"/>
      <c r="O110" s="455" t="s">
        <v>661</v>
      </c>
      <c r="P110" s="455"/>
    </row>
    <row r="111" spans="2:16">
      <c r="H111" s="181"/>
      <c r="N111" s="175">
        <v>25</v>
      </c>
      <c r="O111" s="179">
        <v>60</v>
      </c>
      <c r="P111" s="180"/>
    </row>
    <row r="112" spans="2:16">
      <c r="C112" s="457" t="s">
        <v>665</v>
      </c>
      <c r="D112" s="457"/>
      <c r="H112" s="181"/>
      <c r="N112" s="175">
        <v>44</v>
      </c>
      <c r="O112" s="179">
        <v>15</v>
      </c>
      <c r="P112" s="181"/>
    </row>
    <row r="113" spans="2:16">
      <c r="B113" s="175">
        <v>38</v>
      </c>
      <c r="C113" s="179">
        <v>150</v>
      </c>
      <c r="D113" s="180"/>
      <c r="F113" s="176"/>
      <c r="H113" s="181"/>
      <c r="I113" s="176"/>
      <c r="O113" s="274">
        <f>O111+O112</f>
        <v>75</v>
      </c>
      <c r="P113" s="180"/>
    </row>
    <row r="114" spans="2:16">
      <c r="D114" s="181"/>
      <c r="H114" s="181"/>
      <c r="P114" s="181"/>
    </row>
    <row r="115" spans="2:16">
      <c r="P115" s="181"/>
    </row>
    <row r="116" spans="2:16">
      <c r="C116" s="457" t="s">
        <v>664</v>
      </c>
      <c r="D116" s="457"/>
      <c r="G116" s="456" t="s">
        <v>616</v>
      </c>
      <c r="H116" s="456"/>
    </row>
    <row r="117" spans="2:16">
      <c r="B117" s="175">
        <v>38</v>
      </c>
      <c r="C117" s="179">
        <v>32.5</v>
      </c>
      <c r="D117" s="180"/>
      <c r="H117" s="180">
        <v>2590</v>
      </c>
      <c r="I117" s="175">
        <v>60</v>
      </c>
    </row>
    <row r="118" spans="2:16">
      <c r="D118" s="181"/>
      <c r="H118" s="181"/>
      <c r="N118" s="176"/>
      <c r="O118" s="455" t="s">
        <v>671</v>
      </c>
      <c r="P118" s="455"/>
    </row>
    <row r="119" spans="2:16">
      <c r="H119" s="181"/>
      <c r="N119" s="175">
        <v>60</v>
      </c>
      <c r="O119" s="179">
        <v>3111</v>
      </c>
      <c r="P119" s="180"/>
    </row>
    <row r="120" spans="2:16">
      <c r="H120" s="181"/>
    </row>
    <row r="121" spans="2:16">
      <c r="C121" s="457" t="s">
        <v>666</v>
      </c>
      <c r="D121" s="457"/>
      <c r="F121" s="176"/>
      <c r="I121" s="176"/>
    </row>
    <row r="122" spans="2:16">
      <c r="B122" s="175">
        <v>38</v>
      </c>
      <c r="C122" s="179">
        <v>100</v>
      </c>
      <c r="D122" s="180">
        <v>100</v>
      </c>
      <c r="E122" s="175">
        <v>58</v>
      </c>
      <c r="G122" s="456" t="s">
        <v>618</v>
      </c>
      <c r="H122" s="456"/>
      <c r="N122" s="176"/>
      <c r="O122" s="455" t="s">
        <v>672</v>
      </c>
      <c r="P122" s="455"/>
    </row>
    <row r="123" spans="2:16">
      <c r="D123" s="181"/>
      <c r="H123" s="180">
        <v>100000</v>
      </c>
      <c r="I123" s="175">
        <v>1</v>
      </c>
      <c r="N123" s="175">
        <v>60</v>
      </c>
      <c r="O123" s="179">
        <v>2590</v>
      </c>
      <c r="P123" s="180"/>
    </row>
    <row r="124" spans="2:16">
      <c r="H124" s="181"/>
    </row>
    <row r="125" spans="2:16">
      <c r="N125" s="179"/>
    </row>
    <row r="126" spans="2:16">
      <c r="G126" s="456" t="s">
        <v>617</v>
      </c>
      <c r="H126" s="456"/>
      <c r="N126" s="176"/>
      <c r="O126" s="455" t="s">
        <v>543</v>
      </c>
      <c r="P126" s="455"/>
    </row>
    <row r="127" spans="2:16">
      <c r="F127" s="175">
        <v>1</v>
      </c>
      <c r="G127" s="179">
        <v>100000</v>
      </c>
      <c r="H127" s="180">
        <v>100000</v>
      </c>
      <c r="I127" s="175">
        <v>2</v>
      </c>
      <c r="N127" s="175">
        <v>62</v>
      </c>
      <c r="O127" s="179">
        <v>59400</v>
      </c>
      <c r="P127" s="180"/>
    </row>
    <row r="128" spans="2:16">
      <c r="H128" s="181"/>
      <c r="P128" s="181"/>
    </row>
    <row r="129" spans="6:16">
      <c r="P129" s="181"/>
    </row>
    <row r="130" spans="6:16">
      <c r="G130" s="456" t="s">
        <v>619</v>
      </c>
      <c r="H130" s="456"/>
      <c r="P130" s="181"/>
    </row>
    <row r="131" spans="6:16">
      <c r="F131" s="176"/>
      <c r="H131" s="180"/>
      <c r="I131" s="176"/>
    </row>
    <row r="132" spans="6:16">
      <c r="H132" s="181"/>
    </row>
    <row r="133" spans="6:16">
      <c r="H133" s="181"/>
    </row>
  </sheetData>
  <mergeCells count="56">
    <mergeCell ref="S2:T2"/>
    <mergeCell ref="S5:T5"/>
    <mergeCell ref="C2:D2"/>
    <mergeCell ref="G2:H2"/>
    <mergeCell ref="G5:H5"/>
    <mergeCell ref="K5:L5"/>
    <mergeCell ref="C5:D5"/>
    <mergeCell ref="K2:L2"/>
    <mergeCell ref="O2:P2"/>
    <mergeCell ref="O5:P5"/>
    <mergeCell ref="O67:P67"/>
    <mergeCell ref="C112:D112"/>
    <mergeCell ref="C44:D44"/>
    <mergeCell ref="O17:P17"/>
    <mergeCell ref="C17:D17"/>
    <mergeCell ref="O25:P25"/>
    <mergeCell ref="O35:P35"/>
    <mergeCell ref="O43:P43"/>
    <mergeCell ref="O51:P51"/>
    <mergeCell ref="O59:P59"/>
    <mergeCell ref="O110:P110"/>
    <mergeCell ref="C104:D104"/>
    <mergeCell ref="C108:D108"/>
    <mergeCell ref="O75:P75"/>
    <mergeCell ref="O82:P82"/>
    <mergeCell ref="G130:H130"/>
    <mergeCell ref="K13:L13"/>
    <mergeCell ref="K22:L22"/>
    <mergeCell ref="G37:H37"/>
    <mergeCell ref="G51:H51"/>
    <mergeCell ref="G60:H60"/>
    <mergeCell ref="G70:H70"/>
    <mergeCell ref="G79:H79"/>
    <mergeCell ref="G90:H90"/>
    <mergeCell ref="G99:H99"/>
    <mergeCell ref="G108:H108"/>
    <mergeCell ref="G18:H18"/>
    <mergeCell ref="G116:H116"/>
    <mergeCell ref="G23:H23"/>
    <mergeCell ref="G27:H27"/>
    <mergeCell ref="O122:P122"/>
    <mergeCell ref="O126:P126"/>
    <mergeCell ref="G122:H122"/>
    <mergeCell ref="G126:H126"/>
    <mergeCell ref="C57:D57"/>
    <mergeCell ref="C71:D71"/>
    <mergeCell ref="C78:D78"/>
    <mergeCell ref="C121:D121"/>
    <mergeCell ref="O118:P118"/>
    <mergeCell ref="O89:P89"/>
    <mergeCell ref="O96:P96"/>
    <mergeCell ref="O103:P103"/>
    <mergeCell ref="C94:D94"/>
    <mergeCell ref="C99:D99"/>
    <mergeCell ref="C89:D89"/>
    <mergeCell ref="C116:D1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141"/>
  <sheetViews>
    <sheetView showGridLines="0" showRowColHeaders="0"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.109375" defaultRowHeight="17.399999999999999" outlineLevelRow="1" outlineLevelCol="2"/>
  <cols>
    <col min="1" max="1" width="2.44140625" style="278" customWidth="1"/>
    <col min="2" max="2" width="22.109375" style="290" customWidth="1"/>
    <col min="3" max="3" width="70.5546875" style="278" customWidth="1"/>
    <col min="4" max="4" width="0.77734375" style="278" customWidth="1"/>
    <col min="5" max="5" width="1" style="278" customWidth="1"/>
    <col min="6" max="6" width="18.44140625" style="286" hidden="1" customWidth="1" outlineLevel="1"/>
    <col min="7" max="8" width="16.33203125" style="286" hidden="1" customWidth="1" outlineLevel="1"/>
    <col min="9" max="9" width="18.44140625" style="286" customWidth="1" collapsed="1"/>
    <col min="10" max="10" width="11.109375" style="341" bestFit="1" customWidth="1"/>
    <col min="11" max="11" width="7.109375" style="341" bestFit="1" customWidth="1"/>
    <col min="12" max="12" width="3.33203125" style="278" customWidth="1"/>
    <col min="13" max="13" width="16.5546875" style="286" hidden="1" customWidth="1" outlineLevel="1"/>
    <col min="14" max="14" width="16.33203125" style="286" hidden="1" customWidth="1" outlineLevel="1"/>
    <col min="15" max="15" width="15" style="286" hidden="1" customWidth="1" outlineLevel="1"/>
    <col min="16" max="16" width="16.33203125" style="286" customWidth="1" collapsed="1"/>
    <col min="17" max="18" width="11.109375" style="341" bestFit="1" customWidth="1"/>
    <col min="19" max="19" width="3.33203125" style="278" customWidth="1"/>
    <col min="20" max="20" width="16.5546875" style="286" hidden="1" customWidth="1" outlineLevel="2"/>
    <col min="21" max="22" width="15.77734375" style="286" hidden="1" customWidth="1" outlineLevel="2"/>
    <col min="23" max="23" width="16.33203125" style="286" customWidth="1" collapsed="1"/>
    <col min="24" max="25" width="11.109375" style="341" bestFit="1" customWidth="1"/>
    <col min="26" max="26" width="13.88671875" style="278" bestFit="1" customWidth="1"/>
    <col min="27" max="16384" width="9.109375" style="278"/>
  </cols>
  <sheetData>
    <row r="1" spans="2:25">
      <c r="S1" s="286"/>
    </row>
    <row r="3" spans="2:25">
      <c r="B3" s="461"/>
      <c r="C3" s="461"/>
      <c r="F3" s="462" t="s">
        <v>592</v>
      </c>
      <c r="G3" s="462"/>
      <c r="H3" s="462"/>
      <c r="I3" s="462"/>
      <c r="J3" s="462"/>
      <c r="K3" s="462"/>
      <c r="M3" s="462" t="s">
        <v>593</v>
      </c>
      <c r="N3" s="462"/>
      <c r="O3" s="462"/>
      <c r="P3" s="462"/>
      <c r="Q3" s="462"/>
      <c r="R3" s="462"/>
      <c r="T3" s="462" t="s">
        <v>594</v>
      </c>
      <c r="U3" s="462"/>
      <c r="V3" s="462"/>
      <c r="W3" s="462"/>
      <c r="X3" s="462"/>
      <c r="Y3" s="462"/>
    </row>
    <row r="4" spans="2:25">
      <c r="B4" s="279"/>
      <c r="C4" s="279"/>
      <c r="D4" s="279"/>
      <c r="E4" s="279"/>
      <c r="F4" s="279"/>
      <c r="G4" s="279"/>
      <c r="H4" s="279"/>
      <c r="I4" s="279"/>
      <c r="J4" s="342"/>
      <c r="K4" s="342"/>
      <c r="L4" s="279"/>
      <c r="M4" s="279"/>
      <c r="N4" s="279"/>
      <c r="O4" s="279"/>
      <c r="P4" s="279"/>
      <c r="Q4" s="342"/>
      <c r="R4" s="342"/>
      <c r="S4" s="279"/>
      <c r="T4" s="279"/>
      <c r="U4" s="279"/>
      <c r="V4" s="279"/>
      <c r="W4" s="279"/>
      <c r="X4" s="342"/>
      <c r="Y4" s="342"/>
    </row>
    <row r="5" spans="2:25" s="279" customFormat="1">
      <c r="D5" s="278"/>
      <c r="E5" s="278"/>
      <c r="F5" s="280"/>
      <c r="G5" s="280"/>
      <c r="H5" s="280"/>
      <c r="I5" s="280"/>
      <c r="J5" s="343"/>
      <c r="K5" s="343"/>
      <c r="M5" s="280"/>
      <c r="N5" s="280"/>
      <c r="O5" s="280"/>
      <c r="P5" s="280"/>
      <c r="Q5" s="343"/>
      <c r="R5" s="343"/>
      <c r="T5" s="280"/>
      <c r="U5" s="280"/>
      <c r="V5" s="280"/>
      <c r="W5" s="280"/>
      <c r="X5" s="343"/>
      <c r="Y5" s="343"/>
    </row>
    <row r="6" spans="2:25" s="281" customFormat="1">
      <c r="B6" s="282" t="s">
        <v>0</v>
      </c>
      <c r="C6" s="282" t="s">
        <v>1</v>
      </c>
      <c r="D6" s="278"/>
      <c r="E6" s="278"/>
      <c r="F6" s="283" t="s">
        <v>183</v>
      </c>
      <c r="G6" s="283" t="s">
        <v>184</v>
      </c>
      <c r="H6" s="283" t="s">
        <v>185</v>
      </c>
      <c r="I6" s="283" t="s">
        <v>186</v>
      </c>
      <c r="J6" s="344" t="s">
        <v>651</v>
      </c>
      <c r="K6" s="344" t="s">
        <v>683</v>
      </c>
      <c r="M6" s="283" t="s">
        <v>183</v>
      </c>
      <c r="N6" s="283" t="s">
        <v>184</v>
      </c>
      <c r="O6" s="283" t="s">
        <v>185</v>
      </c>
      <c r="P6" s="283" t="s">
        <v>186</v>
      </c>
      <c r="Q6" s="344" t="s">
        <v>651</v>
      </c>
      <c r="R6" s="344" t="s">
        <v>683</v>
      </c>
      <c r="T6" s="283" t="s">
        <v>183</v>
      </c>
      <c r="U6" s="283" t="s">
        <v>184</v>
      </c>
      <c r="V6" s="283" t="s">
        <v>185</v>
      </c>
      <c r="W6" s="283" t="s">
        <v>186</v>
      </c>
      <c r="X6" s="344" t="s">
        <v>651</v>
      </c>
      <c r="Y6" s="344" t="s">
        <v>683</v>
      </c>
    </row>
    <row r="7" spans="2:25">
      <c r="B7" s="284">
        <v>1</v>
      </c>
      <c r="C7" s="285" t="s">
        <v>2</v>
      </c>
      <c r="F7" s="293">
        <v>0</v>
      </c>
      <c r="G7" s="293">
        <f>G8+G29</f>
        <v>261000</v>
      </c>
      <c r="H7" s="293">
        <f>H8+H29</f>
        <v>15906.875</v>
      </c>
      <c r="I7" s="293">
        <f>I8+I29</f>
        <v>245093.125</v>
      </c>
      <c r="J7" s="345"/>
      <c r="K7" s="345"/>
      <c r="M7" s="293">
        <f t="shared" ref="M7:M45" si="0">I7</f>
        <v>245093.125</v>
      </c>
      <c r="N7" s="293">
        <f>N8+N29</f>
        <v>195000</v>
      </c>
      <c r="O7" s="293">
        <f>O8+O29</f>
        <v>52303.175000000003</v>
      </c>
      <c r="P7" s="293">
        <f>P8+P29</f>
        <v>387789.95</v>
      </c>
      <c r="Q7" s="345"/>
      <c r="R7" s="345"/>
      <c r="T7" s="293">
        <f>P7</f>
        <v>387789.95</v>
      </c>
      <c r="U7" s="293">
        <f>U8+U29</f>
        <v>131117.5</v>
      </c>
      <c r="V7" s="293">
        <f>V8+V29</f>
        <v>100623.675</v>
      </c>
      <c r="W7" s="293">
        <f>W8+W29</f>
        <v>418516.27500000002</v>
      </c>
      <c r="X7" s="345"/>
      <c r="Y7" s="345"/>
    </row>
    <row r="8" spans="2:25" hidden="1" outlineLevel="1">
      <c r="B8" s="284" t="s">
        <v>3</v>
      </c>
      <c r="C8" s="285" t="s">
        <v>4</v>
      </c>
      <c r="F8" s="293">
        <v>0</v>
      </c>
      <c r="G8" s="293">
        <f>G9+G12+G15+G19</f>
        <v>258330</v>
      </c>
      <c r="H8" s="293">
        <f t="shared" ref="H8" si="1">H9+H12+H15+H19</f>
        <v>15906.875</v>
      </c>
      <c r="I8" s="293">
        <f>I9+I12+I15+I19</f>
        <v>242423.125</v>
      </c>
      <c r="J8" s="345">
        <f>I8/I7</f>
        <v>0.9891061815789407</v>
      </c>
      <c r="K8" s="345"/>
      <c r="M8" s="293">
        <f t="shared" si="0"/>
        <v>242423.125</v>
      </c>
      <c r="N8" s="293">
        <f>N9+N12+N15+N19</f>
        <v>190300</v>
      </c>
      <c r="O8" s="293">
        <f t="shared" ref="O8" si="2">O9+O12+O15+O19</f>
        <v>52263.125</v>
      </c>
      <c r="P8" s="293">
        <f>P9+P12+P15+P19</f>
        <v>380460</v>
      </c>
      <c r="Q8" s="345">
        <f>P8/P7</f>
        <v>0.98109814346658542</v>
      </c>
      <c r="R8" s="345"/>
      <c r="T8" s="293">
        <f t="shared" ref="T8:T71" si="3">P8</f>
        <v>380460</v>
      </c>
      <c r="U8" s="293">
        <f>U9+U12+U15+U19</f>
        <v>131117.5</v>
      </c>
      <c r="V8" s="293">
        <f t="shared" ref="V8" si="4">V9+V12+V15+V19</f>
        <v>100513.125</v>
      </c>
      <c r="W8" s="293">
        <f>W9+W12+W15+W19</f>
        <v>411296.875</v>
      </c>
      <c r="X8" s="345">
        <f>W8/W7</f>
        <v>0.98275001372407789</v>
      </c>
      <c r="Y8" s="345"/>
    </row>
    <row r="9" spans="2:25" hidden="1" outlineLevel="1">
      <c r="B9" s="284" t="s">
        <v>5</v>
      </c>
      <c r="C9" s="285" t="s">
        <v>639</v>
      </c>
      <c r="F9" s="293">
        <v>0</v>
      </c>
      <c r="G9" s="293">
        <f>SUM(G10:G11)</f>
        <v>106000</v>
      </c>
      <c r="H9" s="293">
        <f>SUM(H10:H11)</f>
        <v>10300</v>
      </c>
      <c r="I9" s="293">
        <f>SUM(I10:I11)</f>
        <v>95700</v>
      </c>
      <c r="J9" s="345">
        <f>I9/I8</f>
        <v>0.39476431961678571</v>
      </c>
      <c r="K9" s="345"/>
      <c r="M9" s="293">
        <f t="shared" si="0"/>
        <v>95700</v>
      </c>
      <c r="N9" s="293">
        <f>SUM(N10:N11)</f>
        <v>20000</v>
      </c>
      <c r="O9" s="293">
        <f>SUM(O10:O11)</f>
        <v>22250</v>
      </c>
      <c r="P9" s="293">
        <f>SUM(P10:P11)</f>
        <v>93450</v>
      </c>
      <c r="Q9" s="345">
        <f>P9/P8</f>
        <v>0.24562371865636334</v>
      </c>
      <c r="R9" s="345"/>
      <c r="T9" s="293">
        <f t="shared" si="3"/>
        <v>93450</v>
      </c>
      <c r="U9" s="293">
        <f>SUM(U10:U11)</f>
        <v>30500</v>
      </c>
      <c r="V9" s="293">
        <f>SUM(V10:V11)</f>
        <v>6950</v>
      </c>
      <c r="W9" s="293">
        <f>SUM(W10:W11)</f>
        <v>117000</v>
      </c>
      <c r="X9" s="345">
        <f>W9/W8</f>
        <v>0.28446605630057364</v>
      </c>
      <c r="Y9" s="345"/>
    </row>
    <row r="10" spans="2:25" hidden="1" outlineLevel="1">
      <c r="B10" s="287" t="s">
        <v>6</v>
      </c>
      <c r="C10" s="288" t="s">
        <v>7</v>
      </c>
      <c r="F10" s="291">
        <v>0</v>
      </c>
      <c r="G10" s="291">
        <f>SUMIFS(DIÁRIO!$F$7:$F$63,DIÁRIO!$D$7:$D$63,BALANCETE!B10,DIÁRIO!$C$7:$C$63,BALANCETE!$B$133)</f>
        <v>3000</v>
      </c>
      <c r="H10" s="291">
        <f>SUMIFS(DIÁRIO!$F$7:$F$63,DIÁRIO!$D$7:$D$63,BALANCETE!B10,DIÁRIO!$C$7:$C$63,BALANCETE!$B$134)</f>
        <v>0</v>
      </c>
      <c r="I10" s="291">
        <f>F10+G10-H10</f>
        <v>3000</v>
      </c>
      <c r="J10" s="349">
        <f>I10/I9</f>
        <v>3.1347962382445138E-2</v>
      </c>
      <c r="K10" s="345"/>
      <c r="M10" s="291">
        <f t="shared" si="0"/>
        <v>3000</v>
      </c>
      <c r="N10" s="291">
        <f>SUMIFS(DIÁRIO!$F$66:$F$141,DIÁRIO!$D$66:$D$141,BALANCETE!B10,DIÁRIO!$C$66:$C$141,BALANCETE!$B$133)</f>
        <v>0</v>
      </c>
      <c r="O10" s="291">
        <f>SUMIFS(DIÁRIO!$F$66:$F$141,DIÁRIO!$D$66:$D$141,BALANCETE!B10,DIÁRIO!$C$66:$C$141,BALANCETE!$B$134)</f>
        <v>1350</v>
      </c>
      <c r="P10" s="291">
        <f>M10+N10-O10</f>
        <v>1650</v>
      </c>
      <c r="Q10" s="345"/>
      <c r="R10" s="345"/>
      <c r="T10" s="291">
        <f t="shared" si="3"/>
        <v>1650</v>
      </c>
      <c r="U10" s="291">
        <f>SUMIFS(DIÁRIO!$F$144:$F$249,DIÁRIO!$D$144:$D$249,BALANCETE!B10,DIÁRIO!$C$144:$C$249,BALANCETE!$B$133)</f>
        <v>0</v>
      </c>
      <c r="V10" s="291">
        <f>SUMIFS(DIÁRIO!$F$144:$F$249,DIÁRIO!$D$144:$D$249,BALANCETE!B10,DIÁRIO!$C$144:$C$249,BALANCETE!$B$134)</f>
        <v>650</v>
      </c>
      <c r="W10" s="291">
        <f>T10+U10-V10</f>
        <v>1000</v>
      </c>
      <c r="X10" s="345"/>
      <c r="Y10" s="345"/>
    </row>
    <row r="11" spans="2:25" hidden="1" outlineLevel="1">
      <c r="B11" s="404" t="s">
        <v>8</v>
      </c>
      <c r="C11" s="405" t="s">
        <v>9</v>
      </c>
      <c r="D11" s="406"/>
      <c r="E11" s="406"/>
      <c r="F11" s="407">
        <v>0</v>
      </c>
      <c r="G11" s="407">
        <f>SUMIFS(DIÁRIO!$F$7:$F$63,DIÁRIO!$D$7:$D$63,BALANCETE!B11,DIÁRIO!$C$7:$C$63,BALANCETE!$B$133)</f>
        <v>103000</v>
      </c>
      <c r="H11" s="407">
        <f>SUMIFS(DIÁRIO!$F$7:$F$63,DIÁRIO!$D$7:$D$63,BALANCETE!B11,DIÁRIO!$C$7:$C$63,BALANCETE!$B$134)</f>
        <v>10300</v>
      </c>
      <c r="I11" s="407">
        <f>F11+G11-H11</f>
        <v>92700</v>
      </c>
      <c r="J11" s="349">
        <f>I11/I9</f>
        <v>0.96865203761755481</v>
      </c>
      <c r="K11" s="345"/>
      <c r="M11" s="407">
        <f t="shared" si="0"/>
        <v>92700</v>
      </c>
      <c r="N11" s="407">
        <f>SUMIFS(DIÁRIO!$F$66:$F$141,DIÁRIO!$D$66:$D$141,BALANCETE!B11,DIÁRIO!$C$66:$C$141,BALANCETE!$B$133)</f>
        <v>20000</v>
      </c>
      <c r="O11" s="407">
        <f>SUMIFS(DIÁRIO!$F$66:$F$141,DIÁRIO!$D$66:$D$141,BALANCETE!B11,DIÁRIO!$C$66:$C$141,BALANCETE!$B$134)</f>
        <v>20900</v>
      </c>
      <c r="P11" s="407">
        <f t="shared" ref="P11:P45" si="5">M11+N11-O11</f>
        <v>91800</v>
      </c>
      <c r="Q11" s="345"/>
      <c r="R11" s="345"/>
      <c r="T11" s="407">
        <f t="shared" si="3"/>
        <v>91800</v>
      </c>
      <c r="U11" s="407">
        <f>SUMIFS(DIÁRIO!$F$144:$F$249,DIÁRIO!$D$144:$D$249,BALANCETE!B11,DIÁRIO!$C$144:$C$249,BALANCETE!$B$133)</f>
        <v>30500</v>
      </c>
      <c r="V11" s="407">
        <f>SUMIFS(DIÁRIO!$F$144:$F$249,DIÁRIO!$D$144:$D$249,BALANCETE!B11,DIÁRIO!$C$144:$C$249,BALANCETE!$B$134)</f>
        <v>6300</v>
      </c>
      <c r="W11" s="407">
        <f t="shared" ref="W11:W45" si="6">T11+U11-V11</f>
        <v>116000</v>
      </c>
      <c r="X11" s="345"/>
      <c r="Y11" s="345"/>
    </row>
    <row r="12" spans="2:25" hidden="1" outlineLevel="1">
      <c r="B12" s="284" t="s">
        <v>10</v>
      </c>
      <c r="C12" s="285" t="s">
        <v>640</v>
      </c>
      <c r="F12" s="293">
        <v>0</v>
      </c>
      <c r="G12" s="293">
        <f>SUM(G13:G14)</f>
        <v>60000</v>
      </c>
      <c r="H12" s="293">
        <f t="shared" ref="H12:I12" si="7">SUM(H13:H14)</f>
        <v>0</v>
      </c>
      <c r="I12" s="293">
        <f t="shared" si="7"/>
        <v>60000</v>
      </c>
      <c r="J12" s="345">
        <f>I12/I8</f>
        <v>0.24750114082557098</v>
      </c>
      <c r="K12" s="345"/>
      <c r="M12" s="293">
        <f t="shared" si="0"/>
        <v>60000</v>
      </c>
      <c r="N12" s="293">
        <f>SUM(N13:N14)</f>
        <v>95000</v>
      </c>
      <c r="O12" s="293">
        <f t="shared" ref="O12" si="8">SUM(O13:O14)</f>
        <v>20000</v>
      </c>
      <c r="P12" s="293">
        <f t="shared" ref="P12" si="9">SUM(P13:P14)</f>
        <v>135000</v>
      </c>
      <c r="Q12" s="345">
        <f>P12/P8</f>
        <v>0.35483362245702571</v>
      </c>
      <c r="R12" s="345"/>
      <c r="T12" s="293">
        <f t="shared" si="3"/>
        <v>135000</v>
      </c>
      <c r="U12" s="293">
        <f>SUM(U13:U14)</f>
        <v>55617.5</v>
      </c>
      <c r="V12" s="293">
        <f t="shared" ref="V12:W12" si="10">SUM(V13:V14)</f>
        <v>30000</v>
      </c>
      <c r="W12" s="293">
        <f t="shared" si="10"/>
        <v>160617.5</v>
      </c>
      <c r="X12" s="345">
        <f>W12/W8</f>
        <v>0.39051475895604604</v>
      </c>
      <c r="Y12" s="345"/>
    </row>
    <row r="13" spans="2:25" hidden="1" outlineLevel="1">
      <c r="B13" s="287" t="s">
        <v>12</v>
      </c>
      <c r="C13" s="288" t="s">
        <v>13</v>
      </c>
      <c r="F13" s="291">
        <v>0</v>
      </c>
      <c r="G13" s="291">
        <f>SUMIFS(DIÁRIO!$F$7:$F$63,DIÁRIO!$D$7:$D$63,BALANCETE!B13,DIÁRIO!$C$7:$C$63,BALANCETE!$B$133)</f>
        <v>60000</v>
      </c>
      <c r="H13" s="291">
        <f>SUMIFS(DIÁRIO!$F$7:$F$63,DIÁRIO!$D$7:$D$63,BALANCETE!B13,DIÁRIO!$C$7:$C$63,BALANCETE!$B$134)</f>
        <v>0</v>
      </c>
      <c r="I13" s="291">
        <f>F13+G13-H13</f>
        <v>60000</v>
      </c>
      <c r="J13" s="349">
        <f>I13/I12</f>
        <v>1</v>
      </c>
      <c r="K13" s="345"/>
      <c r="M13" s="291">
        <f t="shared" si="0"/>
        <v>60000</v>
      </c>
      <c r="N13" s="291">
        <f>SUMIFS(DIÁRIO!$F$66:$F$141,DIÁRIO!$D$66:$D$141,BALANCETE!B13,DIÁRIO!$C$66:$C$141,BALANCETE!$B$133)</f>
        <v>95000</v>
      </c>
      <c r="O13" s="291">
        <f>SUMIFS(DIÁRIO!$F$66:$F$141,DIÁRIO!$D$66:$D$141,BALANCETE!B13,DIÁRIO!$C$66:$C$141,BALANCETE!$B$134)</f>
        <v>20000</v>
      </c>
      <c r="P13" s="291">
        <f t="shared" si="5"/>
        <v>135000</v>
      </c>
      <c r="Q13" s="345"/>
      <c r="R13" s="345"/>
      <c r="T13" s="291">
        <f t="shared" si="3"/>
        <v>135000</v>
      </c>
      <c r="U13" s="291">
        <f>SUMIFS(DIÁRIO!$F$144:$F$249,DIÁRIO!$D$144:$D$249,BALANCETE!B13,DIÁRIO!$C$144:$C$249,BALANCETE!$B$133)</f>
        <v>55617.5</v>
      </c>
      <c r="V13" s="291">
        <f>SUMIFS(DIÁRIO!$F$144:$F$249,DIÁRIO!$D$144:$D$249,BALANCETE!B13,DIÁRIO!$C$144:$C$249,BALANCETE!$B$134)</f>
        <v>30000</v>
      </c>
      <c r="W13" s="291">
        <f t="shared" si="6"/>
        <v>160617.5</v>
      </c>
      <c r="X13" s="345"/>
      <c r="Y13" s="345"/>
    </row>
    <row r="14" spans="2:25" hidden="1" outlineLevel="1">
      <c r="B14" s="287" t="s">
        <v>14</v>
      </c>
      <c r="C14" s="288" t="s">
        <v>15</v>
      </c>
      <c r="F14" s="291">
        <v>0</v>
      </c>
      <c r="G14" s="291">
        <f>SUMIFS(DIÁRIO!$F$7:$F$63,DIÁRIO!$D$7:$D$63,BALANCETE!B14,DIÁRIO!$C$7:$C$63,BALANCETE!$B$133)</f>
        <v>0</v>
      </c>
      <c r="H14" s="291">
        <f>SUMIFS(DIÁRIO!$F$7:$F$63,DIÁRIO!$D$7:$D$63,BALANCETE!B14,DIÁRIO!$C$7:$C$63,BALANCETE!$B$134)</f>
        <v>0</v>
      </c>
      <c r="I14" s="291">
        <f>F14+G14-H14</f>
        <v>0</v>
      </c>
      <c r="J14" s="345"/>
      <c r="K14" s="345"/>
      <c r="M14" s="291">
        <f t="shared" si="0"/>
        <v>0</v>
      </c>
      <c r="N14" s="291">
        <f>SUMIFS(DIÁRIO!$F$66:$F$141,DIÁRIO!$D$66:$D$141,BALANCETE!B14,DIÁRIO!$C$66:$C$141,BALANCETE!$B$133)</f>
        <v>0</v>
      </c>
      <c r="O14" s="291">
        <f>SUMIFS(DIÁRIO!$F$66:$F$141,DIÁRIO!$D$66:$D$141,BALANCETE!B14,DIÁRIO!$C$66:$C$141,BALANCETE!$B$134)</f>
        <v>0</v>
      </c>
      <c r="P14" s="291">
        <f t="shared" si="5"/>
        <v>0</v>
      </c>
      <c r="Q14" s="345"/>
      <c r="R14" s="345"/>
      <c r="T14" s="293">
        <f t="shared" si="3"/>
        <v>0</v>
      </c>
      <c r="U14" s="291">
        <f>SUMIFS(DIÁRIO!$F$144:$F$224,DIÁRIO!$D$144:$D$224,BALANCETE!B14,DIÁRIO!$C$144:$C$224,BALANCETE!$B$133)</f>
        <v>0</v>
      </c>
      <c r="V14" s="291">
        <f>SUMIFS(DIÁRIO!$F$144:$F$249,DIÁRIO!$D$144:$D$249,BALANCETE!B14,DIÁRIO!$C$144:$C$249,BALANCETE!$B$134)</f>
        <v>0</v>
      </c>
      <c r="W14" s="291">
        <f t="shared" si="6"/>
        <v>0</v>
      </c>
      <c r="X14" s="345"/>
      <c r="Y14" s="345"/>
    </row>
    <row r="15" spans="2:25" hidden="1" outlineLevel="1">
      <c r="B15" s="284" t="s">
        <v>16</v>
      </c>
      <c r="C15" s="285" t="s">
        <v>17</v>
      </c>
      <c r="F15" s="293">
        <v>0</v>
      </c>
      <c r="G15" s="293">
        <f>SUM(G16:G18)</f>
        <v>74400</v>
      </c>
      <c r="H15" s="293">
        <f t="shared" ref="H15:I15" si="11">SUM(H16:H18)</f>
        <v>0</v>
      </c>
      <c r="I15" s="293">
        <f t="shared" si="11"/>
        <v>74400</v>
      </c>
      <c r="J15" s="345">
        <f>I15/I8</f>
        <v>0.30690141462370801</v>
      </c>
      <c r="K15" s="345"/>
      <c r="M15" s="293">
        <f t="shared" si="0"/>
        <v>74400</v>
      </c>
      <c r="N15" s="293">
        <f>SUM(N16:N18)</f>
        <v>66000</v>
      </c>
      <c r="O15" s="293">
        <f t="shared" ref="O15" si="12">SUM(O16:O18)</f>
        <v>0</v>
      </c>
      <c r="P15" s="293">
        <f t="shared" ref="P15" si="13">SUM(P16:P18)</f>
        <v>140400</v>
      </c>
      <c r="Q15" s="345">
        <f>P15/P8</f>
        <v>0.36902696735530671</v>
      </c>
      <c r="R15" s="345"/>
      <c r="T15" s="293">
        <f t="shared" si="3"/>
        <v>140400</v>
      </c>
      <c r="U15" s="293">
        <f>SUM(U16:U18)</f>
        <v>41850</v>
      </c>
      <c r="V15" s="293">
        <f t="shared" ref="V15:W15" si="14">SUM(V16:V18)</f>
        <v>59400</v>
      </c>
      <c r="W15" s="293">
        <f t="shared" si="14"/>
        <v>122850</v>
      </c>
      <c r="X15" s="345">
        <f>W15/W8</f>
        <v>0.29868935911560235</v>
      </c>
      <c r="Y15" s="345"/>
    </row>
    <row r="16" spans="2:25" hidden="1" outlineLevel="1">
      <c r="B16" s="287" t="s">
        <v>18</v>
      </c>
      <c r="C16" s="288" t="s">
        <v>19</v>
      </c>
      <c r="D16" s="281"/>
      <c r="E16" s="281"/>
      <c r="F16" s="291">
        <v>0</v>
      </c>
      <c r="G16" s="291">
        <f>SUMIFS(DIÁRIO!$F$7:$F$63,DIÁRIO!$D$7:$D$63,BALANCETE!B16,DIÁRIO!$C$7:$C$63,BALANCETE!$B$133)</f>
        <v>74400</v>
      </c>
      <c r="H16" s="291">
        <f>SUMIFS(DIÁRIO!$F$7:$F$63,DIÁRIO!$D$7:$D$63,BALANCETE!B16,DIÁRIO!$C$7:$C$63,BALANCETE!$B$134)</f>
        <v>0</v>
      </c>
      <c r="I16" s="291">
        <f>F16+G16-H16</f>
        <v>74400</v>
      </c>
      <c r="J16" s="349">
        <f>I16/I15</f>
        <v>1</v>
      </c>
      <c r="K16" s="345"/>
      <c r="M16" s="291">
        <f t="shared" si="0"/>
        <v>74400</v>
      </c>
      <c r="N16" s="291">
        <f>SUMIFS(DIÁRIO!$F$66:$F$141,DIÁRIO!$D$66:$D$141,BALANCETE!B16,DIÁRIO!$C$66:$C$141,BALANCETE!$B$133)</f>
        <v>66000</v>
      </c>
      <c r="O16" s="291">
        <f>SUMIFS(DIÁRIO!$F$66:$F$141,DIÁRIO!$D$66:$D$141,BALANCETE!B16,DIÁRIO!$C$66:$C$141,BALANCETE!$B$134)</f>
        <v>0</v>
      </c>
      <c r="P16" s="291">
        <f t="shared" si="5"/>
        <v>140400</v>
      </c>
      <c r="Q16" s="345"/>
      <c r="R16" s="345"/>
      <c r="T16" s="291">
        <f t="shared" si="3"/>
        <v>140400</v>
      </c>
      <c r="U16" s="291">
        <f>SUMIFS(DIÁRIO!$F$144:$F$249,DIÁRIO!$D$144:$D$249,BALANCETE!B16,DIÁRIO!$C$144:$C$249,BALANCETE!$B$133)</f>
        <v>41850</v>
      </c>
      <c r="V16" s="291">
        <f>SUMIFS(DIÁRIO!$F$144:$F$249,DIÁRIO!$D$144:$D$249,BALANCETE!B16,DIÁRIO!$C$144:$C$249,BALANCETE!$B$134)</f>
        <v>59400</v>
      </c>
      <c r="W16" s="291">
        <f t="shared" si="6"/>
        <v>122850</v>
      </c>
      <c r="X16" s="345"/>
      <c r="Y16" s="345"/>
    </row>
    <row r="17" spans="2:25" hidden="1" outlineLevel="1">
      <c r="B17" s="287" t="s">
        <v>20</v>
      </c>
      <c r="C17" s="288" t="s">
        <v>21</v>
      </c>
      <c r="F17" s="291">
        <v>0</v>
      </c>
      <c r="G17" s="291">
        <f>SUMIFS(DIÁRIO!$F$7:$F$63,DIÁRIO!$D$7:$D$63,BALANCETE!B17,DIÁRIO!$C$7:$C$63,BALANCETE!$B$133)</f>
        <v>0</v>
      </c>
      <c r="H17" s="291">
        <f>SUMIFS(DIÁRIO!$F$7:$F$63,DIÁRIO!$D$7:$D$63,BALANCETE!B17,DIÁRIO!$C$7:$C$63,BALANCETE!$B$134)</f>
        <v>0</v>
      </c>
      <c r="I17" s="291">
        <f>F17+G17-H17</f>
        <v>0</v>
      </c>
      <c r="J17" s="345"/>
      <c r="K17" s="345"/>
      <c r="M17" s="291">
        <f t="shared" si="0"/>
        <v>0</v>
      </c>
      <c r="N17" s="291">
        <f>SUMIFS(DIÁRIO!$F$66:$F$141,DIÁRIO!$D$66:$D$141,BALANCETE!B17,DIÁRIO!$C$66:$C$141,BALANCETE!$B$133)</f>
        <v>0</v>
      </c>
      <c r="O17" s="291">
        <f>SUMIFS(DIÁRIO!$F$66:$F$141,DIÁRIO!$D$66:$D$141,BALANCETE!B17,DIÁRIO!$C$66:$C$141,BALANCETE!$B$134)</f>
        <v>0</v>
      </c>
      <c r="P17" s="291">
        <f t="shared" si="5"/>
        <v>0</v>
      </c>
      <c r="Q17" s="345"/>
      <c r="R17" s="345"/>
      <c r="T17" s="293">
        <f t="shared" si="3"/>
        <v>0</v>
      </c>
      <c r="U17" s="291">
        <f>SUMIFS(DIÁRIO!$F$144:$F$224,DIÁRIO!$D$144:$D$224,BALANCETE!B17,DIÁRIO!$C$144:$C$224,BALANCETE!$B$133)</f>
        <v>0</v>
      </c>
      <c r="V17" s="291">
        <f>SUMIFS(DIÁRIO!$F$144:$F$249,DIÁRIO!$D$144:$D$249,BALANCETE!B17,DIÁRIO!$C$144:$C$249,BALANCETE!$B$134)</f>
        <v>0</v>
      </c>
      <c r="W17" s="291">
        <f t="shared" si="6"/>
        <v>0</v>
      </c>
      <c r="X17" s="345"/>
      <c r="Y17" s="345"/>
    </row>
    <row r="18" spans="2:25" hidden="1" outlineLevel="1">
      <c r="B18" s="287" t="s">
        <v>22</v>
      </c>
      <c r="C18" s="288" t="s">
        <v>23</v>
      </c>
      <c r="F18" s="291">
        <v>0</v>
      </c>
      <c r="G18" s="291">
        <f>SUMIFS(DIÁRIO!$F$7:$F$63,DIÁRIO!$D$7:$D$63,BALANCETE!B18,DIÁRIO!$C$7:$C$63,BALANCETE!$B$133)</f>
        <v>0</v>
      </c>
      <c r="H18" s="291">
        <f>SUMIFS(DIÁRIO!$F$7:$F$63,DIÁRIO!$D$7:$D$63,BALANCETE!B18,DIÁRIO!$C$7:$C$63,BALANCETE!$B$134)</f>
        <v>0</v>
      </c>
      <c r="I18" s="291">
        <f>F18+G18-H18</f>
        <v>0</v>
      </c>
      <c r="J18" s="345"/>
      <c r="K18" s="345"/>
      <c r="M18" s="291">
        <f t="shared" si="0"/>
        <v>0</v>
      </c>
      <c r="N18" s="291">
        <f>SUMIFS(DIÁRIO!$F$66:$F$141,DIÁRIO!$D$66:$D$141,BALANCETE!B18,DIÁRIO!$C$66:$C$141,BALANCETE!$B$133)</f>
        <v>0</v>
      </c>
      <c r="O18" s="291">
        <f>SUMIFS(DIÁRIO!$F$66:$F$141,DIÁRIO!$D$66:$D$141,BALANCETE!B18,DIÁRIO!$C$66:$C$141,BALANCETE!$B$134)</f>
        <v>0</v>
      </c>
      <c r="P18" s="291">
        <f t="shared" si="5"/>
        <v>0</v>
      </c>
      <c r="Q18" s="345"/>
      <c r="R18" s="345"/>
      <c r="T18" s="293">
        <f t="shared" si="3"/>
        <v>0</v>
      </c>
      <c r="U18" s="291">
        <f>SUMIFS(DIÁRIO!$F$144:$F$224,DIÁRIO!$D$144:$D$224,BALANCETE!B18,DIÁRIO!$C$144:$C$224,BALANCETE!$B$133)</f>
        <v>0</v>
      </c>
      <c r="V18" s="291">
        <f>SUMIFS(DIÁRIO!$F$144:$F$249,DIÁRIO!$D$144:$D$249,BALANCETE!B18,DIÁRIO!$C$144:$C$249,BALANCETE!$B$134)</f>
        <v>0</v>
      </c>
      <c r="W18" s="291">
        <f t="shared" si="6"/>
        <v>0</v>
      </c>
      <c r="X18" s="345"/>
      <c r="Y18" s="345"/>
    </row>
    <row r="19" spans="2:25" hidden="1" outlineLevel="1">
      <c r="B19" s="284" t="s">
        <v>24</v>
      </c>
      <c r="C19" s="285" t="s">
        <v>25</v>
      </c>
      <c r="F19" s="293">
        <v>0</v>
      </c>
      <c r="G19" s="293">
        <f>SUM(G20:G23)</f>
        <v>17930</v>
      </c>
      <c r="H19" s="293">
        <f t="shared" ref="H19:I19" si="15">SUM(H20:H23)</f>
        <v>5606.8750000000009</v>
      </c>
      <c r="I19" s="293">
        <f t="shared" si="15"/>
        <v>12323.125</v>
      </c>
      <c r="J19" s="345">
        <f>I19/I8</f>
        <v>5.0833124933935242E-2</v>
      </c>
      <c r="K19" s="345"/>
      <c r="M19" s="293">
        <f t="shared" si="0"/>
        <v>12323.125</v>
      </c>
      <c r="N19" s="293">
        <f>SUM(N20:N23)</f>
        <v>9300</v>
      </c>
      <c r="O19" s="293">
        <f t="shared" ref="O19" si="16">SUM(O20:O23)</f>
        <v>10013.125</v>
      </c>
      <c r="P19" s="293">
        <f>SUM(P20:P28)</f>
        <v>11610</v>
      </c>
      <c r="Q19" s="345">
        <f>P19/P8</f>
        <v>3.051569153130421E-2</v>
      </c>
      <c r="R19" s="345"/>
      <c r="T19" s="293">
        <f t="shared" si="3"/>
        <v>11610</v>
      </c>
      <c r="U19" s="293">
        <f>SUM(U20:U23)</f>
        <v>3150.0000000000005</v>
      </c>
      <c r="V19" s="293">
        <f t="shared" ref="V19" si="17">SUM(V20:V23)</f>
        <v>4163.125</v>
      </c>
      <c r="W19" s="293">
        <f>SUM(W20:W28)</f>
        <v>10829.375</v>
      </c>
      <c r="X19" s="345">
        <f>W19/W8</f>
        <v>2.632982562777799E-2</v>
      </c>
      <c r="Y19" s="345"/>
    </row>
    <row r="20" spans="2:25" hidden="1" outlineLevel="1">
      <c r="B20" s="287" t="s">
        <v>26</v>
      </c>
      <c r="C20" s="288" t="s">
        <v>27</v>
      </c>
      <c r="F20" s="291">
        <v>0</v>
      </c>
      <c r="G20" s="291">
        <f>SUMIFS(DIÁRIO!$F$7:$F$63,DIÁRIO!$D$7:$D$63,BALANCETE!B20,DIÁRIO!$C$7:$C$63,BALANCETE!$B$133)</f>
        <v>0</v>
      </c>
      <c r="H20" s="291">
        <f>SUMIFS(DIÁRIO!$F$7:$F$63,DIÁRIO!$D$7:$D$63,BALANCETE!B20,DIÁRIO!$C$7:$C$63,BALANCETE!$B$134)</f>
        <v>0</v>
      </c>
      <c r="I20" s="291">
        <f t="shared" ref="I20:I28" si="18">F20+G20-H20</f>
        <v>0</v>
      </c>
      <c r="J20" s="345"/>
      <c r="K20" s="345"/>
      <c r="M20" s="291">
        <f t="shared" si="0"/>
        <v>0</v>
      </c>
      <c r="N20" s="291">
        <f>SUMIFS(DIÁRIO!$F$66:$F$141,DIÁRIO!$D$66:$D$141,BALANCETE!B20,DIÁRIO!$C$66:$C$141,BALANCETE!$B$133)</f>
        <v>0</v>
      </c>
      <c r="O20" s="291">
        <f>SUMIFS(DIÁRIO!$F$66:$F$141,DIÁRIO!$D$66:$D$141,BALANCETE!B20,DIÁRIO!$C$66:$C$141,BALANCETE!$B$134)</f>
        <v>0</v>
      </c>
      <c r="P20" s="291">
        <f t="shared" si="5"/>
        <v>0</v>
      </c>
      <c r="Q20" s="345"/>
      <c r="R20" s="345"/>
      <c r="T20" s="293">
        <f t="shared" si="3"/>
        <v>0</v>
      </c>
      <c r="U20" s="291">
        <f>SUMIFS(DIÁRIO!$F$144:$F$249,DIÁRIO!$D$144:$D$249,BALANCETE!B20,DIÁRIO!$C$144:$C$249,BALANCETE!$B$133)</f>
        <v>0</v>
      </c>
      <c r="V20" s="291">
        <f>SUMIFS(DIÁRIO!$F$144:$F$249,DIÁRIO!$D$144:$D$249,BALANCETE!B20,DIÁRIO!$C$144:$C$249,BALANCETE!$B$134)</f>
        <v>0</v>
      </c>
      <c r="W20" s="291">
        <f t="shared" si="6"/>
        <v>0</v>
      </c>
      <c r="X20" s="345"/>
      <c r="Y20" s="345"/>
    </row>
    <row r="21" spans="2:25" hidden="1" outlineLevel="1">
      <c r="B21" s="287" t="s">
        <v>28</v>
      </c>
      <c r="C21" s="288" t="s">
        <v>294</v>
      </c>
      <c r="F21" s="291">
        <v>0</v>
      </c>
      <c r="G21" s="291">
        <f>SUMIFS(DIÁRIO!$F$7:$F$63,DIÁRIO!$D$7:$D$63,BALANCETE!B21,DIÁRIO!$C$7:$C$63,BALANCETE!$B$133)</f>
        <v>5930.0000000000009</v>
      </c>
      <c r="H21" s="291">
        <f>SUMIFS(DIÁRIO!$F$7:$F$63,DIÁRIO!$D$7:$D$63,BALANCETE!B21,DIÁRIO!$C$7:$C$63,BALANCETE!$B$134)</f>
        <v>5606.8750000000009</v>
      </c>
      <c r="I21" s="291">
        <f t="shared" si="18"/>
        <v>323.125</v>
      </c>
      <c r="J21" s="349">
        <f>I21/I19</f>
        <v>2.6221027539686564E-2</v>
      </c>
      <c r="K21" s="345"/>
      <c r="M21" s="291">
        <f t="shared" si="0"/>
        <v>323.125</v>
      </c>
      <c r="N21" s="291">
        <f>SUMIFS(DIÁRIO!$F$66:$F$141,DIÁRIO!$D$66:$D$141,BALANCETE!B21,DIÁRIO!$C$66:$C$141,BALANCETE!$B$133)</f>
        <v>9300</v>
      </c>
      <c r="O21" s="291">
        <f>SUMIFS(DIÁRIO!$F$66:$F$141,DIÁRIO!$D$66:$D$141,BALANCETE!B21,DIÁRIO!$C$66:$C$141,BALANCETE!$B$134)</f>
        <v>9013.125</v>
      </c>
      <c r="P21" s="291">
        <f t="shared" si="5"/>
        <v>610</v>
      </c>
      <c r="Q21" s="345"/>
      <c r="R21" s="345"/>
      <c r="T21" s="291">
        <f t="shared" si="3"/>
        <v>610</v>
      </c>
      <c r="U21" s="291">
        <f>SUMIFS(DIÁRIO!$F$144:$F$249,DIÁRIO!$D$144:$D$249,BALANCETE!B21,DIÁRIO!$C$144:$C$249,BALANCETE!$B$133)</f>
        <v>3150.0000000000005</v>
      </c>
      <c r="V21" s="291">
        <f>SUMIFS(DIÁRIO!$F$144:$F$249,DIÁRIO!$D$144:$D$249,BALANCETE!B21,DIÁRIO!$C$144:$C$249,BALANCETE!$B$134)</f>
        <v>3163.1250000000005</v>
      </c>
      <c r="W21" s="291">
        <f t="shared" si="6"/>
        <v>596.875</v>
      </c>
      <c r="X21" s="345"/>
      <c r="Y21" s="345"/>
    </row>
    <row r="22" spans="2:25" hidden="1" outlineLevel="1">
      <c r="B22" s="287" t="s">
        <v>29</v>
      </c>
      <c r="C22" s="288" t="s">
        <v>30</v>
      </c>
      <c r="F22" s="291">
        <v>0</v>
      </c>
      <c r="G22" s="291">
        <f>SUMIFS(DIÁRIO!$F$7:$F$63,DIÁRIO!$D$7:$D$63,BALANCETE!B22,DIÁRIO!$C$7:$C$63,BALANCETE!$B$133)</f>
        <v>0</v>
      </c>
      <c r="H22" s="291">
        <f>SUMIFS(DIÁRIO!$F$7:$F$63,DIÁRIO!$D$7:$D$63,BALANCETE!B22,DIÁRIO!$C$7:$C$63,BALANCETE!$B$134)</f>
        <v>0</v>
      </c>
      <c r="I22" s="291">
        <f t="shared" si="18"/>
        <v>0</v>
      </c>
      <c r="J22" s="345"/>
      <c r="K22" s="345"/>
      <c r="M22" s="291">
        <f t="shared" si="0"/>
        <v>0</v>
      </c>
      <c r="N22" s="291">
        <f>SUMIFS(DIÁRIO!$F$66:$F$141,DIÁRIO!$D$66:$D$141,BALANCETE!B22,DIÁRIO!$C$66:$C$141,BALANCETE!$B$133)</f>
        <v>0</v>
      </c>
      <c r="O22" s="291">
        <f>SUMIFS(DIÁRIO!$F$66:$F$141,DIÁRIO!$D$66:$D$141,BALANCETE!B22,DIÁRIO!$C$66:$C$141,BALANCETE!$B$134)</f>
        <v>0</v>
      </c>
      <c r="P22" s="291">
        <f t="shared" si="5"/>
        <v>0</v>
      </c>
      <c r="Q22" s="345"/>
      <c r="R22" s="345"/>
      <c r="T22" s="291">
        <f t="shared" si="3"/>
        <v>0</v>
      </c>
      <c r="U22" s="291">
        <f>SUMIFS(DIÁRIO!$F$144:$F$249,DIÁRIO!$D$144:$D$249,BALANCETE!B22,DIÁRIO!$C$144:$C$249,BALANCETE!$B$133)</f>
        <v>0</v>
      </c>
      <c r="V22" s="291">
        <f>SUMIFS(DIÁRIO!$F$144:$F$249,DIÁRIO!$D$144:$D$249,BALANCETE!B22,DIÁRIO!$C$144:$C$249,BALANCETE!$B$134)</f>
        <v>0</v>
      </c>
      <c r="W22" s="291">
        <f t="shared" si="6"/>
        <v>0</v>
      </c>
      <c r="X22" s="345"/>
      <c r="Y22" s="345"/>
    </row>
    <row r="23" spans="2:25" hidden="1" outlineLevel="1">
      <c r="B23" s="288" t="s">
        <v>385</v>
      </c>
      <c r="C23" s="288" t="s">
        <v>386</v>
      </c>
      <c r="F23" s="291">
        <v>0</v>
      </c>
      <c r="G23" s="291">
        <f>SUMIFS(DIÁRIO!$F$7:$F$63,DIÁRIO!$D$7:$D$63,BALANCETE!B23,DIÁRIO!$C$7:$C$63,BALANCETE!$B$133)</f>
        <v>12000</v>
      </c>
      <c r="H23" s="291">
        <f>SUMIFS(DIÁRIO!$F$7:$F$63,DIÁRIO!$D$7:$D$63,BALANCETE!B23,DIÁRIO!$C$7:$C$63,BALANCETE!$B$134)</f>
        <v>0</v>
      </c>
      <c r="I23" s="291">
        <f t="shared" si="18"/>
        <v>12000</v>
      </c>
      <c r="J23" s="349">
        <f>I23/I19</f>
        <v>0.97377897246031342</v>
      </c>
      <c r="K23" s="345"/>
      <c r="M23" s="291">
        <f t="shared" si="0"/>
        <v>12000</v>
      </c>
      <c r="N23" s="291">
        <f>SUMIFS(DIÁRIO!$F$66:$F$141,DIÁRIO!$D$66:$D$141,BALANCETE!B23,DIÁRIO!$C$66:$C$141,BALANCETE!$B$133)</f>
        <v>0</v>
      </c>
      <c r="O23" s="291">
        <f>SUMIFS(DIÁRIO!$F$66:$F$141,DIÁRIO!$D$66:$D$141,BALANCETE!B23,DIÁRIO!$C$66:$C$141,BALANCETE!$B$134)</f>
        <v>1000</v>
      </c>
      <c r="P23" s="291">
        <f t="shared" si="5"/>
        <v>11000</v>
      </c>
      <c r="Q23" s="345"/>
      <c r="R23" s="345"/>
      <c r="T23" s="291">
        <f t="shared" si="3"/>
        <v>11000</v>
      </c>
      <c r="U23" s="291">
        <f>SUMIFS(DIÁRIO!$F$144:$F$249,DIÁRIO!$D$144:$D$249,BALANCETE!B23,DIÁRIO!$C$144:$C$249,BALANCETE!$B$133)</f>
        <v>0</v>
      </c>
      <c r="V23" s="291">
        <f>SUMIFS(DIÁRIO!$F$144:$F$249,DIÁRIO!$D$144:$D$249,BALANCETE!B23,DIÁRIO!$C$144:$C$249,BALANCETE!$B$134)</f>
        <v>1000</v>
      </c>
      <c r="W23" s="291">
        <f t="shared" si="6"/>
        <v>10000</v>
      </c>
      <c r="X23" s="345"/>
      <c r="Y23" s="345"/>
    </row>
    <row r="24" spans="2:25" hidden="1" outlineLevel="1">
      <c r="B24" s="288" t="s">
        <v>641</v>
      </c>
      <c r="C24" s="288" t="s">
        <v>645</v>
      </c>
      <c r="F24" s="291">
        <v>0</v>
      </c>
      <c r="G24" s="291">
        <f>SUMIFS(DIÁRIO!$F$7:$F$63,DIÁRIO!$D$7:$D$63,BALANCETE!B24,DIÁRIO!$C$7:$C$63,BALANCETE!$B$133)</f>
        <v>0</v>
      </c>
      <c r="H24" s="291">
        <f>SUMIFS(DIÁRIO!$F$7:$F$63,DIÁRIO!$D$7:$D$63,BALANCETE!B24,DIÁRIO!$C$7:$C$63,BALANCETE!$B$134)</f>
        <v>0</v>
      </c>
      <c r="I24" s="291">
        <f t="shared" si="18"/>
        <v>0</v>
      </c>
      <c r="J24" s="345"/>
      <c r="K24" s="345"/>
      <c r="M24" s="291">
        <f t="shared" si="0"/>
        <v>0</v>
      </c>
      <c r="N24" s="291">
        <f>SUMIFS(DIÁRIO!$F$66:$F$141,DIÁRIO!$D$66:$D$141,BALANCETE!B24,DIÁRIO!$C$66:$C$141,BALANCETE!$B$133)</f>
        <v>0</v>
      </c>
      <c r="O24" s="291">
        <f>SUMIFS(DIÁRIO!$F$66:$F$141,DIÁRIO!$D$66:$D$141,BALANCETE!B24,DIÁRIO!$C$66:$C$141,BALANCETE!$B$134)</f>
        <v>0</v>
      </c>
      <c r="P24" s="291">
        <f t="shared" si="5"/>
        <v>0</v>
      </c>
      <c r="Q24" s="345"/>
      <c r="R24" s="345"/>
      <c r="T24" s="291">
        <f t="shared" si="3"/>
        <v>0</v>
      </c>
      <c r="U24" s="291">
        <f>SUMIFS(DIÁRIO!$F$144:$F$249,DIÁRIO!$D$144:$D$249,BALANCETE!B24,DIÁRIO!$C$144:$C$249,BALANCETE!$B$133)</f>
        <v>50</v>
      </c>
      <c r="V24" s="291">
        <f>SUMIFS(DIÁRIO!$F$144:$F$249,DIÁRIO!$D$144:$D$249,BALANCETE!B24,DIÁRIO!$C$144:$C$249,BALANCETE!$B$134)</f>
        <v>50</v>
      </c>
      <c r="W24" s="291">
        <f t="shared" si="6"/>
        <v>0</v>
      </c>
      <c r="X24" s="345"/>
      <c r="Y24" s="345"/>
    </row>
    <row r="25" spans="2:25" hidden="1" outlineLevel="1">
      <c r="B25" s="288" t="s">
        <v>642</v>
      </c>
      <c r="C25" s="288" t="s">
        <v>363</v>
      </c>
      <c r="F25" s="291">
        <v>0</v>
      </c>
      <c r="G25" s="291">
        <f>SUMIFS(DIÁRIO!$F$7:$F$63,DIÁRIO!$D$7:$D$63,BALANCETE!B25,DIÁRIO!$C$7:$C$63,BALANCETE!$B$133)</f>
        <v>0</v>
      </c>
      <c r="H25" s="291">
        <f>SUMIFS(DIÁRIO!$F$7:$F$63,DIÁRIO!$D$7:$D$63,BALANCETE!B25,DIÁRIO!$C$7:$C$63,BALANCETE!$B$134)</f>
        <v>0</v>
      </c>
      <c r="I25" s="291">
        <f t="shared" si="18"/>
        <v>0</v>
      </c>
      <c r="J25" s="345"/>
      <c r="K25" s="345"/>
      <c r="M25" s="291">
        <f t="shared" si="0"/>
        <v>0</v>
      </c>
      <c r="N25" s="291">
        <f>SUMIFS(DIÁRIO!$F$66:$F$141,DIÁRIO!$D$66:$D$141,BALANCETE!B25,DIÁRIO!$C$66:$C$141,BALANCETE!$B$133)</f>
        <v>0</v>
      </c>
      <c r="O25" s="291">
        <f>SUMIFS(DIÁRIO!$F$66:$F$141,DIÁRIO!$D$66:$D$141,BALANCETE!B25,DIÁRIO!$C$66:$C$141,BALANCETE!$B$134)</f>
        <v>0</v>
      </c>
      <c r="P25" s="291">
        <f t="shared" si="5"/>
        <v>0</v>
      </c>
      <c r="Q25" s="345"/>
      <c r="R25" s="345"/>
      <c r="T25" s="291">
        <f t="shared" si="3"/>
        <v>0</v>
      </c>
      <c r="U25" s="291">
        <f>SUMIFS(DIÁRIO!$F$144:$F$249,DIÁRIO!$D$144:$D$249,BALANCETE!B25,DIÁRIO!$C$144:$C$249,BALANCETE!$B$133)</f>
        <v>50</v>
      </c>
      <c r="V25" s="291">
        <f>SUMIFS(DIÁRIO!$F$144:$F$249,DIÁRIO!$D$144:$D$249,BALANCETE!B25,DIÁRIO!$C$144:$C$249,BALANCETE!$B$134)</f>
        <v>0</v>
      </c>
      <c r="W25" s="291">
        <f t="shared" si="6"/>
        <v>50</v>
      </c>
      <c r="X25" s="345"/>
      <c r="Y25" s="345"/>
    </row>
    <row r="26" spans="2:25" hidden="1" outlineLevel="1">
      <c r="B26" s="288" t="s">
        <v>643</v>
      </c>
      <c r="C26" s="288" t="s">
        <v>646</v>
      </c>
      <c r="F26" s="291">
        <v>0</v>
      </c>
      <c r="G26" s="291">
        <f>SUMIFS(DIÁRIO!$F$7:$F$63,DIÁRIO!$D$7:$D$63,BALANCETE!B26,DIÁRIO!$C$7:$C$63,BALANCETE!$B$133)</f>
        <v>0</v>
      </c>
      <c r="H26" s="291">
        <f>SUMIFS(DIÁRIO!$F$7:$F$63,DIÁRIO!$D$7:$D$63,BALANCETE!B26,DIÁRIO!$C$7:$C$63,BALANCETE!$B$134)</f>
        <v>0</v>
      </c>
      <c r="I26" s="291">
        <f t="shared" si="18"/>
        <v>0</v>
      </c>
      <c r="J26" s="345"/>
      <c r="K26" s="345"/>
      <c r="M26" s="291">
        <f t="shared" si="0"/>
        <v>0</v>
      </c>
      <c r="N26" s="291">
        <f>SUMIFS(DIÁRIO!$F$66:$F$141,DIÁRIO!$D$66:$D$141,BALANCETE!B26,DIÁRIO!$C$66:$C$141,BALANCETE!$B$133)</f>
        <v>0</v>
      </c>
      <c r="O26" s="291">
        <f>SUMIFS(DIÁRIO!$F$66:$F$141,DIÁRIO!$D$66:$D$141,BALANCETE!B26,DIÁRIO!$C$66:$C$141,BALANCETE!$B$134)</f>
        <v>0</v>
      </c>
      <c r="P26" s="291">
        <f t="shared" si="5"/>
        <v>0</v>
      </c>
      <c r="Q26" s="345"/>
      <c r="R26" s="345"/>
      <c r="T26" s="291">
        <f t="shared" si="3"/>
        <v>0</v>
      </c>
      <c r="U26" s="291">
        <f>SUMIFS(DIÁRIO!$F$144:$F$249,DIÁRIO!$D$144:$D$249,BALANCETE!B26,DIÁRIO!$C$144:$C$249,BALANCETE!$B$133)</f>
        <v>150</v>
      </c>
      <c r="V26" s="291">
        <f>SUMIFS(DIÁRIO!$F$144:$F$249,DIÁRIO!$D$144:$D$249,BALANCETE!B26,DIÁRIO!$C$144:$C$249,BALANCETE!$B$134)</f>
        <v>0</v>
      </c>
      <c r="W26" s="291">
        <f t="shared" si="6"/>
        <v>150</v>
      </c>
      <c r="X26" s="345"/>
      <c r="Y26" s="345"/>
    </row>
    <row r="27" spans="2:25" hidden="1" outlineLevel="1">
      <c r="B27" s="288" t="s">
        <v>644</v>
      </c>
      <c r="C27" s="288" t="s">
        <v>647</v>
      </c>
      <c r="F27" s="291">
        <v>0</v>
      </c>
      <c r="G27" s="291">
        <f>SUMIFS(DIÁRIO!$F$7:$F$63,DIÁRIO!$D$7:$D$63,BALANCETE!B27,DIÁRIO!$C$7:$C$63,BALANCETE!$B$133)</f>
        <v>0</v>
      </c>
      <c r="H27" s="291">
        <f>SUMIFS(DIÁRIO!$F$7:$F$63,DIÁRIO!$D$7:$D$63,BALANCETE!B27,DIÁRIO!$C$7:$C$63,BALANCETE!$B$134)</f>
        <v>0</v>
      </c>
      <c r="I27" s="291">
        <f t="shared" si="18"/>
        <v>0</v>
      </c>
      <c r="J27" s="345"/>
      <c r="K27" s="345"/>
      <c r="M27" s="291">
        <f t="shared" si="0"/>
        <v>0</v>
      </c>
      <c r="N27" s="291">
        <f>SUMIFS(DIÁRIO!$F$66:$F$141,DIÁRIO!$D$66:$D$141,BALANCETE!B27,DIÁRIO!$C$66:$C$141,BALANCETE!$B$133)</f>
        <v>0</v>
      </c>
      <c r="O27" s="291">
        <f>SUMIFS(DIÁRIO!$F$66:$F$141,DIÁRIO!$D$66:$D$141,BALANCETE!B27,DIÁRIO!$C$66:$C$141,BALANCETE!$B$134)</f>
        <v>0</v>
      </c>
      <c r="P27" s="291">
        <f t="shared" si="5"/>
        <v>0</v>
      </c>
      <c r="Q27" s="345"/>
      <c r="R27" s="345"/>
      <c r="T27" s="293">
        <f t="shared" si="3"/>
        <v>0</v>
      </c>
      <c r="U27" s="291">
        <f>SUMIFS(DIÁRIO!$F$144:$F$249,DIÁRIO!$D$144:$D$249,BALANCETE!B27,DIÁRIO!$C$144:$C$249,BALANCETE!$B$133)</f>
        <v>32.5</v>
      </c>
      <c r="V27" s="291">
        <f>SUMIFS(DIÁRIO!$F$144:$F$249,DIÁRIO!$D$144:$D$249,BALANCETE!B27,DIÁRIO!$C$144:$C$249,BALANCETE!$B$134)</f>
        <v>0</v>
      </c>
      <c r="W27" s="291">
        <f t="shared" si="6"/>
        <v>32.5</v>
      </c>
      <c r="X27" s="345"/>
      <c r="Y27" s="345"/>
    </row>
    <row r="28" spans="2:25" hidden="1" outlineLevel="1">
      <c r="B28" s="288" t="s">
        <v>648</v>
      </c>
      <c r="C28" s="288" t="s">
        <v>307</v>
      </c>
      <c r="F28" s="291">
        <v>0</v>
      </c>
      <c r="G28" s="291">
        <f>SUMIFS(DIÁRIO!$F$7:$F$63,DIÁRIO!$D$7:$D$63,BALANCETE!B28,DIÁRIO!$C$7:$C$63,BALANCETE!$B$133)</f>
        <v>0</v>
      </c>
      <c r="H28" s="291">
        <f>SUMIFS(DIÁRIO!$F$7:$F$63,DIÁRIO!$D$7:$D$63,BALANCETE!B28,DIÁRIO!$C$7:$C$63,BALANCETE!$B$134)</f>
        <v>0</v>
      </c>
      <c r="I28" s="291">
        <f t="shared" si="18"/>
        <v>0</v>
      </c>
      <c r="J28" s="345"/>
      <c r="K28" s="345"/>
      <c r="M28" s="291">
        <f t="shared" si="0"/>
        <v>0</v>
      </c>
      <c r="N28" s="291">
        <f>SUMIFS(DIÁRIO!$F$66:$F$141,DIÁRIO!$D$66:$D$141,BALANCETE!B28,DIÁRIO!$C$66:$C$141,BALANCETE!$B$133)</f>
        <v>0</v>
      </c>
      <c r="O28" s="291">
        <f>SUMIFS(DIÁRIO!$F$66:$F$141,DIÁRIO!$D$66:$D$141,BALANCETE!B28,DIÁRIO!$C$66:$C$141,BALANCETE!$B$134)</f>
        <v>0</v>
      </c>
      <c r="P28" s="291">
        <f t="shared" si="5"/>
        <v>0</v>
      </c>
      <c r="Q28" s="345"/>
      <c r="R28" s="345"/>
      <c r="T28" s="293">
        <f t="shared" si="3"/>
        <v>0</v>
      </c>
      <c r="U28" s="291">
        <f>SUMIFS(DIÁRIO!$F$144:$F$249,DIÁRIO!$D$144:$D$249,BALANCETE!B28,DIÁRIO!$C$144:$C$249,BALANCETE!$B$133)</f>
        <v>100</v>
      </c>
      <c r="V28" s="291">
        <f>SUMIFS(DIÁRIO!$F$144:$F$249,DIÁRIO!$D$144:$D$249,BALANCETE!B28,DIÁRIO!$C$144:$C$249,BALANCETE!$B$134)</f>
        <v>100</v>
      </c>
      <c r="W28" s="291">
        <f t="shared" si="6"/>
        <v>0</v>
      </c>
      <c r="X28" s="345"/>
      <c r="Y28" s="345"/>
    </row>
    <row r="29" spans="2:25" hidden="1" outlineLevel="1">
      <c r="B29" s="284" t="s">
        <v>31</v>
      </c>
      <c r="C29" s="285" t="s">
        <v>32</v>
      </c>
      <c r="F29" s="293">
        <v>0</v>
      </c>
      <c r="G29" s="293">
        <f>G30+G33+G36+G43</f>
        <v>2670</v>
      </c>
      <c r="H29" s="293">
        <f t="shared" ref="H29:I29" si="19">H30+H33+H36+H43</f>
        <v>0</v>
      </c>
      <c r="I29" s="293">
        <f t="shared" si="19"/>
        <v>2670</v>
      </c>
      <c r="J29" s="345">
        <f>I29/I7</f>
        <v>1.0893818421059341E-2</v>
      </c>
      <c r="K29" s="345"/>
      <c r="M29" s="293">
        <f t="shared" si="0"/>
        <v>2670</v>
      </c>
      <c r="N29" s="293">
        <f>N30+N33+N36+N43</f>
        <v>4700</v>
      </c>
      <c r="O29" s="293">
        <f t="shared" ref="O29" si="20">O30+O33+O36+O43</f>
        <v>40.049999999999997</v>
      </c>
      <c r="P29" s="293">
        <f t="shared" ref="P29" si="21">P30+P33+P36+P43</f>
        <v>7329.95</v>
      </c>
      <c r="Q29" s="345">
        <f>P29/P7</f>
        <v>1.8901856533414543E-2</v>
      </c>
      <c r="R29" s="345"/>
      <c r="T29" s="293">
        <f t="shared" si="3"/>
        <v>7329.95</v>
      </c>
      <c r="U29" s="293">
        <f>U30+U33+U36+U43</f>
        <v>0</v>
      </c>
      <c r="V29" s="293">
        <f t="shared" ref="V29:W29" si="22">V30+V33+V36+V43</f>
        <v>110.55</v>
      </c>
      <c r="W29" s="293">
        <f t="shared" si="22"/>
        <v>7219.4</v>
      </c>
      <c r="X29" s="345">
        <f>W29/W7</f>
        <v>1.7249986275922002E-2</v>
      </c>
      <c r="Y29" s="345"/>
    </row>
    <row r="30" spans="2:25" hidden="1" outlineLevel="1">
      <c r="B30" s="284" t="s">
        <v>33</v>
      </c>
      <c r="C30" s="285" t="s">
        <v>34</v>
      </c>
      <c r="F30" s="293">
        <v>0</v>
      </c>
      <c r="G30" s="293">
        <f>SUM(G31:G32)</f>
        <v>0</v>
      </c>
      <c r="H30" s="293">
        <f>SUMIFS(DIÁRIO!$F$7:$F$63,DIÁRIO!$D$7:$D$63,BALANCETE!B30,DIÁRIO!$C$7:$C$63,BALANCETE!$B$134)</f>
        <v>0</v>
      </c>
      <c r="I30" s="293">
        <f>SUMIFS(DIÁRIO!$F$7:$F$63,DIÁRIO!$D$7:$D$63,BALANCETE!C30,DIÁRIO!$C$7:$C$63,BALANCETE!$B$134)</f>
        <v>0</v>
      </c>
      <c r="J30" s="345"/>
      <c r="K30" s="345"/>
      <c r="M30" s="293">
        <f t="shared" si="0"/>
        <v>0</v>
      </c>
      <c r="N30" s="291">
        <f>SUMIFS(DIÁRIO!$F$66:$F$141,DIÁRIO!$D$66:$D$141,BALANCETE!B30,DIÁRIO!$C$66:$C$141,BALANCETE!$B$133)</f>
        <v>0</v>
      </c>
      <c r="O30" s="291">
        <f>SUMIFS(DIÁRIO!$F$66:$F$141,DIÁRIO!$D$66:$D$141,BALANCETE!B30,DIÁRIO!$C$66:$C$141,BALANCETE!$B$134)</f>
        <v>0</v>
      </c>
      <c r="P30" s="291">
        <f t="shared" si="5"/>
        <v>0</v>
      </c>
      <c r="Q30" s="345"/>
      <c r="R30" s="345"/>
      <c r="T30" s="293">
        <f t="shared" si="3"/>
        <v>0</v>
      </c>
      <c r="U30" s="291">
        <f>SUMIFS(DIÁRIO!$F$144:$F$224,DIÁRIO!$D$144:$D$224,BALANCETE!B30,DIÁRIO!$C$144:$C$224,BALANCETE!$B$133)</f>
        <v>0</v>
      </c>
      <c r="V30" s="291">
        <f>SUMIFS(DIÁRIO!$F$144:$F$249,DIÁRIO!$D$144:$D$249,BALANCETE!B30,DIÁRIO!$C$144:$C$249,BALANCETE!$B$134)</f>
        <v>0</v>
      </c>
      <c r="W30" s="291">
        <f t="shared" si="6"/>
        <v>0</v>
      </c>
      <c r="X30" s="345"/>
      <c r="Y30" s="345"/>
    </row>
    <row r="31" spans="2:25" hidden="1" outlineLevel="1">
      <c r="B31" s="287" t="s">
        <v>35</v>
      </c>
      <c r="C31" s="288" t="s">
        <v>11</v>
      </c>
      <c r="F31" s="291">
        <v>0</v>
      </c>
      <c r="G31" s="291">
        <f>SUMIFS(DIÁRIO!$F$7:$F$63,DIÁRIO!$D$7:$D$63,BALANCETE!B31,DIÁRIO!$C$7:$C$63,BALANCETE!$B$133)</f>
        <v>0</v>
      </c>
      <c r="H31" s="291">
        <f>SUMIFS(DIÁRIO!$F$7:$F$63,DIÁRIO!$D$7:$D$63,BALANCETE!B31,DIÁRIO!$C$7:$C$63,BALANCETE!$B$134)</f>
        <v>0</v>
      </c>
      <c r="I31" s="291">
        <f t="shared" ref="I31:I32" si="23">F31+G31-H31</f>
        <v>0</v>
      </c>
      <c r="J31" s="345"/>
      <c r="K31" s="345"/>
      <c r="M31" s="293">
        <f t="shared" si="0"/>
        <v>0</v>
      </c>
      <c r="N31" s="291">
        <f>SUMIFS(DIÁRIO!$F$66:$F$141,DIÁRIO!$D$66:$D$141,BALANCETE!B31,DIÁRIO!$C$66:$C$141,BALANCETE!$B$133)</f>
        <v>0</v>
      </c>
      <c r="O31" s="291">
        <f>SUMIFS(DIÁRIO!$F$66:$F$141,DIÁRIO!$D$66:$D$141,BALANCETE!B31,DIÁRIO!$C$66:$C$141,BALANCETE!$B$134)</f>
        <v>0</v>
      </c>
      <c r="P31" s="291">
        <f t="shared" si="5"/>
        <v>0</v>
      </c>
      <c r="Q31" s="345"/>
      <c r="R31" s="345"/>
      <c r="T31" s="293">
        <f t="shared" si="3"/>
        <v>0</v>
      </c>
      <c r="U31" s="291">
        <f>SUMIFS(DIÁRIO!$F$144:$F$224,DIÁRIO!$D$144:$D$224,BALANCETE!B31,DIÁRIO!$C$144:$C$224,BALANCETE!$B$133)</f>
        <v>0</v>
      </c>
      <c r="V31" s="291">
        <f>SUMIFS(DIÁRIO!$F$144:$F$249,DIÁRIO!$D$144:$D$249,BALANCETE!B31,DIÁRIO!$C$144:$C$249,BALANCETE!$B$134)</f>
        <v>0</v>
      </c>
      <c r="W31" s="291">
        <f t="shared" si="6"/>
        <v>0</v>
      </c>
      <c r="X31" s="345"/>
      <c r="Y31" s="345"/>
    </row>
    <row r="32" spans="2:25" hidden="1" outlineLevel="1">
      <c r="B32" s="287" t="s">
        <v>36</v>
      </c>
      <c r="C32" s="288" t="s">
        <v>15</v>
      </c>
      <c r="F32" s="291">
        <v>0</v>
      </c>
      <c r="G32" s="291">
        <f>SUMIFS(DIÁRIO!$F$7:$F$63,DIÁRIO!$D$7:$D$63,BALANCETE!B32,DIÁRIO!$C$7:$C$63,BALANCETE!$B$133)</f>
        <v>0</v>
      </c>
      <c r="H32" s="291">
        <f>SUMIFS(DIÁRIO!$F$7:$F$63,DIÁRIO!$D$7:$D$63,BALANCETE!B32,DIÁRIO!$C$7:$C$63,BALANCETE!$B$134)</f>
        <v>0</v>
      </c>
      <c r="I32" s="291">
        <f t="shared" si="23"/>
        <v>0</v>
      </c>
      <c r="J32" s="345"/>
      <c r="K32" s="345"/>
      <c r="M32" s="293">
        <f t="shared" si="0"/>
        <v>0</v>
      </c>
      <c r="N32" s="291">
        <f>SUMIFS(DIÁRIO!$F$66:$F$141,DIÁRIO!$D$66:$D$141,BALANCETE!B32,DIÁRIO!$C$66:$C$141,BALANCETE!$B$133)</f>
        <v>0</v>
      </c>
      <c r="O32" s="291">
        <f>SUMIFS(DIÁRIO!$F$66:$F$141,DIÁRIO!$D$66:$D$141,BALANCETE!B32,DIÁRIO!$C$66:$C$141,BALANCETE!$B$134)</f>
        <v>0</v>
      </c>
      <c r="P32" s="291">
        <f t="shared" si="5"/>
        <v>0</v>
      </c>
      <c r="Q32" s="345"/>
      <c r="R32" s="345"/>
      <c r="T32" s="293">
        <f t="shared" si="3"/>
        <v>0</v>
      </c>
      <c r="U32" s="291">
        <f>SUMIFS(DIÁRIO!$F$144:$F$224,DIÁRIO!$D$144:$D$224,BALANCETE!B32,DIÁRIO!$C$144:$C$224,BALANCETE!$B$133)</f>
        <v>0</v>
      </c>
      <c r="V32" s="291">
        <f>SUMIFS(DIÁRIO!$F$144:$F$249,DIÁRIO!$D$144:$D$249,BALANCETE!B32,DIÁRIO!$C$144:$C$249,BALANCETE!$B$134)</f>
        <v>0</v>
      </c>
      <c r="W32" s="291">
        <f t="shared" si="6"/>
        <v>0</v>
      </c>
      <c r="X32" s="345"/>
      <c r="Y32" s="345"/>
    </row>
    <row r="33" spans="2:25" hidden="1" outlineLevel="1">
      <c r="B33" s="284" t="s">
        <v>37</v>
      </c>
      <c r="C33" s="285" t="s">
        <v>38</v>
      </c>
      <c r="F33" s="293">
        <v>0</v>
      </c>
      <c r="G33" s="293">
        <f>SUM(G34:G35)</f>
        <v>0</v>
      </c>
      <c r="H33" s="293">
        <f>SUMIFS(DIÁRIO!$F$7:$F$63,DIÁRIO!$D$7:$D$63,BALANCETE!B33,DIÁRIO!$C$7:$C$63,BALANCETE!$B$134)</f>
        <v>0</v>
      </c>
      <c r="I33" s="294"/>
      <c r="J33" s="345"/>
      <c r="K33" s="345"/>
      <c r="M33" s="293">
        <f t="shared" si="0"/>
        <v>0</v>
      </c>
      <c r="N33" s="291">
        <f>SUMIFS(DIÁRIO!$F$66:$F$141,DIÁRIO!$D$66:$D$141,BALANCETE!B33,DIÁRIO!$C$66:$C$141,BALANCETE!$B$133)</f>
        <v>0</v>
      </c>
      <c r="O33" s="291">
        <f>SUMIFS(DIÁRIO!$F$66:$F$141,DIÁRIO!$D$66:$D$141,BALANCETE!B33,DIÁRIO!$C$66:$C$141,BALANCETE!$B$134)</f>
        <v>0</v>
      </c>
      <c r="P33" s="291">
        <f t="shared" si="5"/>
        <v>0</v>
      </c>
      <c r="Q33" s="345"/>
      <c r="R33" s="345"/>
      <c r="T33" s="293">
        <f t="shared" si="3"/>
        <v>0</v>
      </c>
      <c r="U33" s="291">
        <f>SUMIFS(DIÁRIO!$F$144:$F$224,DIÁRIO!$D$144:$D$224,BALANCETE!B33,DIÁRIO!$C$144:$C$224,BALANCETE!$B$133)</f>
        <v>0</v>
      </c>
      <c r="V33" s="291">
        <f>SUMIFS(DIÁRIO!$F$144:$F$249,DIÁRIO!$D$144:$D$249,BALANCETE!B33,DIÁRIO!$C$144:$C$249,BALANCETE!$B$134)</f>
        <v>0</v>
      </c>
      <c r="W33" s="291">
        <f t="shared" si="6"/>
        <v>0</v>
      </c>
      <c r="X33" s="345"/>
      <c r="Y33" s="345"/>
    </row>
    <row r="34" spans="2:25" hidden="1" outlineLevel="1">
      <c r="B34" s="287" t="s">
        <v>39</v>
      </c>
      <c r="C34" s="288" t="s">
        <v>40</v>
      </c>
      <c r="F34" s="291">
        <v>0</v>
      </c>
      <c r="G34" s="291">
        <f>SUMIFS(DIÁRIO!$F$7:$F$63,DIÁRIO!$D$7:$D$63,BALANCETE!B34,DIÁRIO!$C$7:$C$63,BALANCETE!$B$133)</f>
        <v>0</v>
      </c>
      <c r="H34" s="291">
        <f>SUMIFS(DIÁRIO!$F$7:$F$63,DIÁRIO!$D$7:$D$63,BALANCETE!B34,DIÁRIO!$C$7:$C$63,BALANCETE!$B$134)</f>
        <v>0</v>
      </c>
      <c r="I34" s="291">
        <f t="shared" ref="I34:I45" si="24">F34+G34-H34</f>
        <v>0</v>
      </c>
      <c r="J34" s="345"/>
      <c r="K34" s="345"/>
      <c r="M34" s="293">
        <f t="shared" si="0"/>
        <v>0</v>
      </c>
      <c r="N34" s="291">
        <f>SUMIFS(DIÁRIO!$F$66:$F$141,DIÁRIO!$D$66:$D$141,BALANCETE!B34,DIÁRIO!$C$66:$C$141,BALANCETE!$B$133)</f>
        <v>0</v>
      </c>
      <c r="O34" s="291">
        <f>SUMIFS(DIÁRIO!$F$66:$F$141,DIÁRIO!$D$66:$D$141,BALANCETE!B34,DIÁRIO!$C$66:$C$141,BALANCETE!$B$134)</f>
        <v>0</v>
      </c>
      <c r="P34" s="291">
        <f t="shared" si="5"/>
        <v>0</v>
      </c>
      <c r="Q34" s="345"/>
      <c r="R34" s="345"/>
      <c r="T34" s="293">
        <f t="shared" si="3"/>
        <v>0</v>
      </c>
      <c r="U34" s="291">
        <f>SUMIFS(DIÁRIO!$F$144:$F$224,DIÁRIO!$D$144:$D$224,BALANCETE!B34,DIÁRIO!$C$144:$C$224,BALANCETE!$B$133)</f>
        <v>0</v>
      </c>
      <c r="V34" s="291">
        <f>SUMIFS(DIÁRIO!$F$144:$F$249,DIÁRIO!$D$144:$D$249,BALANCETE!B34,DIÁRIO!$C$144:$C$249,BALANCETE!$B$134)</f>
        <v>0</v>
      </c>
      <c r="W34" s="291">
        <f t="shared" si="6"/>
        <v>0</v>
      </c>
      <c r="X34" s="345"/>
      <c r="Y34" s="345"/>
    </row>
    <row r="35" spans="2:25" hidden="1" outlineLevel="1">
      <c r="B35" s="287" t="s">
        <v>41</v>
      </c>
      <c r="C35" s="288" t="s">
        <v>42</v>
      </c>
      <c r="F35" s="291">
        <v>0</v>
      </c>
      <c r="G35" s="291">
        <f>SUMIFS(DIÁRIO!$F$7:$F$63,DIÁRIO!$D$7:$D$63,BALANCETE!B35,DIÁRIO!$C$7:$C$63,BALANCETE!$B$133)</f>
        <v>0</v>
      </c>
      <c r="H35" s="291">
        <f>SUMIFS(DIÁRIO!$F$7:$F$63,DIÁRIO!$D$7:$D$63,BALANCETE!B35,DIÁRIO!$C$7:$C$63,BALANCETE!$B$134)</f>
        <v>0</v>
      </c>
      <c r="I35" s="291">
        <f t="shared" si="24"/>
        <v>0</v>
      </c>
      <c r="J35" s="345"/>
      <c r="K35" s="345"/>
      <c r="M35" s="293">
        <f t="shared" si="0"/>
        <v>0</v>
      </c>
      <c r="N35" s="291">
        <f>SUMIFS(DIÁRIO!$F$66:$F$141,DIÁRIO!$D$66:$D$141,BALANCETE!B35,DIÁRIO!$C$66:$C$141,BALANCETE!$B$133)</f>
        <v>0</v>
      </c>
      <c r="O35" s="291">
        <f>SUMIFS(DIÁRIO!$F$66:$F$141,DIÁRIO!$D$66:$D$141,BALANCETE!B35,DIÁRIO!$C$66:$C$141,BALANCETE!$B$134)</f>
        <v>0</v>
      </c>
      <c r="P35" s="291">
        <f t="shared" si="5"/>
        <v>0</v>
      </c>
      <c r="Q35" s="345"/>
      <c r="R35" s="345"/>
      <c r="T35" s="293">
        <f t="shared" si="3"/>
        <v>0</v>
      </c>
      <c r="U35" s="291">
        <f>SUMIFS(DIÁRIO!$F$144:$F$224,DIÁRIO!$D$144:$D$224,BALANCETE!B35,DIÁRIO!$C$144:$C$224,BALANCETE!$B$133)</f>
        <v>0</v>
      </c>
      <c r="V35" s="291">
        <f>SUMIFS(DIÁRIO!$F$144:$F$249,DIÁRIO!$D$144:$D$249,BALANCETE!B35,DIÁRIO!$C$144:$C$249,BALANCETE!$B$134)</f>
        <v>0</v>
      </c>
      <c r="W35" s="291">
        <f t="shared" si="6"/>
        <v>0</v>
      </c>
      <c r="X35" s="345"/>
      <c r="Y35" s="345"/>
    </row>
    <row r="36" spans="2:25" hidden="1" outlineLevel="1">
      <c r="B36" s="284" t="s">
        <v>43</v>
      </c>
      <c r="C36" s="285" t="s">
        <v>44</v>
      </c>
      <c r="F36" s="293">
        <v>0</v>
      </c>
      <c r="G36" s="293">
        <f>SUM(G37:G42)</f>
        <v>2670</v>
      </c>
      <c r="H36" s="293">
        <f t="shared" ref="H36:I36" si="25">SUM(H37:H42)</f>
        <v>0</v>
      </c>
      <c r="I36" s="293">
        <f t="shared" si="25"/>
        <v>2670</v>
      </c>
      <c r="J36" s="345">
        <f>I36/I29</f>
        <v>1</v>
      </c>
      <c r="K36" s="345"/>
      <c r="M36" s="293">
        <f t="shared" si="0"/>
        <v>2670</v>
      </c>
      <c r="N36" s="293">
        <f>SUM(N37:N42)</f>
        <v>4700</v>
      </c>
      <c r="O36" s="293">
        <f t="shared" ref="O36" si="26">SUM(O37:O42)</f>
        <v>40.049999999999997</v>
      </c>
      <c r="P36" s="293">
        <f>SUM(P37:P42)</f>
        <v>7329.95</v>
      </c>
      <c r="Q36" s="345">
        <f>P36/P29</f>
        <v>1</v>
      </c>
      <c r="R36" s="345"/>
      <c r="T36" s="293">
        <f t="shared" si="3"/>
        <v>7329.95</v>
      </c>
      <c r="U36" s="293">
        <f>SUM(U37:U42)</f>
        <v>0</v>
      </c>
      <c r="V36" s="293">
        <f t="shared" ref="V36" si="27">SUM(V37:V42)</f>
        <v>110.55</v>
      </c>
      <c r="W36" s="293">
        <f>SUM(W37:W42)</f>
        <v>7219.4</v>
      </c>
      <c r="X36" s="345">
        <f>W36/W29</f>
        <v>1</v>
      </c>
      <c r="Y36" s="345"/>
    </row>
    <row r="37" spans="2:25" hidden="1" outlineLevel="1">
      <c r="B37" s="287" t="s">
        <v>45</v>
      </c>
      <c r="C37" s="288" t="s">
        <v>46</v>
      </c>
      <c r="F37" s="291">
        <v>0</v>
      </c>
      <c r="G37" s="291">
        <f>SUMIFS(DIÁRIO!$F$7:$F$63,DIÁRIO!$D$7:$D$63,BALANCETE!B37,DIÁRIO!$C$7:$C$63,BALANCETE!$B$133)</f>
        <v>0</v>
      </c>
      <c r="H37" s="291">
        <f>SUMIFS(DIÁRIO!$F$7:$F$63,DIÁRIO!$D$7:$D$63,BALANCETE!B37,DIÁRIO!$C$7:$C$63,BALANCETE!$B$134)</f>
        <v>0</v>
      </c>
      <c r="I37" s="291">
        <f t="shared" si="24"/>
        <v>0</v>
      </c>
      <c r="J37" s="345"/>
      <c r="K37" s="345"/>
      <c r="M37" s="293">
        <f t="shared" si="0"/>
        <v>0</v>
      </c>
      <c r="N37" s="291">
        <f>SUMIFS(DIÁRIO!$F$66:$F$141,DIÁRIO!$D$66:$D$141,BALANCETE!B37,DIÁRIO!$C$66:$C$141,BALANCETE!$B$133)</f>
        <v>0</v>
      </c>
      <c r="O37" s="291">
        <f>SUMIFS(DIÁRIO!$F$66:$F$141,DIÁRIO!$D$66:$D$141,BALANCETE!B37,DIÁRIO!$C$66:$C$141,BALANCETE!$B$134)</f>
        <v>0</v>
      </c>
      <c r="P37" s="291">
        <f t="shared" si="5"/>
        <v>0</v>
      </c>
      <c r="Q37" s="345"/>
      <c r="R37" s="345"/>
      <c r="T37" s="293">
        <f t="shared" si="3"/>
        <v>0</v>
      </c>
      <c r="U37" s="291">
        <f>SUMIFS(DIÁRIO!$F$144:$F$249,DIÁRIO!$D$144:$D$249,BALANCETE!B37,DIÁRIO!$C$144:$C$249,BALANCETE!$B$133)</f>
        <v>0</v>
      </c>
      <c r="V37" s="291">
        <f>SUMIFS(DIÁRIO!$F$144:$F$249,DIÁRIO!$D$144:$D$249,BALANCETE!B37,DIÁRIO!$C$144:$C$249,BALANCETE!$B$134)</f>
        <v>0</v>
      </c>
      <c r="W37" s="291">
        <f t="shared" si="6"/>
        <v>0</v>
      </c>
      <c r="X37" s="345"/>
      <c r="Y37" s="345"/>
    </row>
    <row r="38" spans="2:25" hidden="1" outlineLevel="1">
      <c r="B38" s="287" t="s">
        <v>47</v>
      </c>
      <c r="C38" s="288" t="s">
        <v>48</v>
      </c>
      <c r="F38" s="291">
        <v>0</v>
      </c>
      <c r="G38" s="291">
        <f>SUMIFS(DIÁRIO!$F$7:$F$63,DIÁRIO!$D$7:$D$63,BALANCETE!B38,DIÁRIO!$C$7:$C$63,BALANCETE!$B$133)</f>
        <v>0</v>
      </c>
      <c r="H38" s="291">
        <f>SUMIFS(DIÁRIO!$F$7:$F$63,DIÁRIO!$D$7:$D$63,BALANCETE!B38,DIÁRIO!$C$7:$C$63,BALANCETE!$B$134)</f>
        <v>0</v>
      </c>
      <c r="I38" s="291">
        <f t="shared" si="24"/>
        <v>0</v>
      </c>
      <c r="J38" s="345"/>
      <c r="K38" s="345"/>
      <c r="M38" s="293">
        <f t="shared" si="0"/>
        <v>0</v>
      </c>
      <c r="N38" s="291">
        <f>SUMIFS(DIÁRIO!$F$66:$F$141,DIÁRIO!$D$66:$D$141,BALANCETE!B38,DIÁRIO!$C$66:$C$141,BALANCETE!$B$133)</f>
        <v>0</v>
      </c>
      <c r="O38" s="291">
        <f>SUMIFS(DIÁRIO!$F$66:$F$141,DIÁRIO!$D$66:$D$141,BALANCETE!B38,DIÁRIO!$C$66:$C$141,BALANCETE!$B$134)</f>
        <v>0</v>
      </c>
      <c r="P38" s="291">
        <f t="shared" si="5"/>
        <v>0</v>
      </c>
      <c r="Q38" s="345"/>
      <c r="R38" s="345"/>
      <c r="T38" s="293">
        <f t="shared" si="3"/>
        <v>0</v>
      </c>
      <c r="U38" s="291">
        <f>SUMIFS(DIÁRIO!$F$144:$F$249,DIÁRIO!$D$144:$D$249,BALANCETE!B38,DIÁRIO!$C$144:$C$249,BALANCETE!$B$133)</f>
        <v>0</v>
      </c>
      <c r="V38" s="291">
        <f>SUMIFS(DIÁRIO!$F$144:$F$249,DIÁRIO!$D$144:$D$249,BALANCETE!B38,DIÁRIO!$C$144:$C$249,BALANCETE!$B$134)</f>
        <v>0</v>
      </c>
      <c r="W38" s="291">
        <f t="shared" si="6"/>
        <v>0</v>
      </c>
      <c r="X38" s="345"/>
      <c r="Y38" s="345"/>
    </row>
    <row r="39" spans="2:25" hidden="1" outlineLevel="1">
      <c r="B39" s="287" t="s">
        <v>49</v>
      </c>
      <c r="C39" s="288" t="s">
        <v>50</v>
      </c>
      <c r="F39" s="291">
        <v>0</v>
      </c>
      <c r="G39" s="291">
        <f>SUMIFS(DIÁRIO!$F$7:$F$63,DIÁRIO!$D$7:$D$63,BALANCETE!B39,DIÁRIO!$C$7:$C$63,BALANCETE!$B$133)</f>
        <v>0</v>
      </c>
      <c r="H39" s="291">
        <f>SUMIFS(DIÁRIO!$F$7:$F$63,DIÁRIO!$D$7:$D$63,BALANCETE!B39,DIÁRIO!$C$7:$C$63,BALANCETE!$B$134)</f>
        <v>0</v>
      </c>
      <c r="I39" s="291">
        <f t="shared" si="24"/>
        <v>0</v>
      </c>
      <c r="J39" s="345"/>
      <c r="K39" s="345"/>
      <c r="M39" s="293">
        <f t="shared" si="0"/>
        <v>0</v>
      </c>
      <c r="N39" s="291">
        <f>SUMIFS(DIÁRIO!$F$66:$F$141,DIÁRIO!$D$66:$D$141,BALANCETE!B39,DIÁRIO!$C$66:$C$141,BALANCETE!$B$133)</f>
        <v>4700</v>
      </c>
      <c r="O39" s="291">
        <f>SUMIFS(DIÁRIO!$F$66:$F$141,DIÁRIO!$D$66:$D$141,BALANCETE!B39,DIÁRIO!$C$66:$C$141,BALANCETE!$B$134)</f>
        <v>0</v>
      </c>
      <c r="P39" s="291">
        <f t="shared" si="5"/>
        <v>4700</v>
      </c>
      <c r="Q39" s="345"/>
      <c r="R39" s="345"/>
      <c r="T39" s="291">
        <f t="shared" si="3"/>
        <v>4700</v>
      </c>
      <c r="U39" s="291">
        <f>SUMIFS(DIÁRIO!$F$144:$F$249,DIÁRIO!$D$144:$D$249,BALANCETE!B39,DIÁRIO!$C$144:$C$249,BALANCETE!$B$133)</f>
        <v>0</v>
      </c>
      <c r="V39" s="291">
        <f>SUMIFS(DIÁRIO!$F$144:$F$249,DIÁRIO!$D$144:$D$249,BALANCETE!B39,DIÁRIO!$C$144:$C$249,BALANCETE!$B$134)</f>
        <v>0</v>
      </c>
      <c r="W39" s="291">
        <f t="shared" si="6"/>
        <v>4700</v>
      </c>
      <c r="X39" s="345"/>
      <c r="Y39" s="345"/>
    </row>
    <row r="40" spans="2:25" hidden="1" outlineLevel="1">
      <c r="B40" s="287" t="s">
        <v>51</v>
      </c>
      <c r="C40" s="288" t="s">
        <v>52</v>
      </c>
      <c r="F40" s="291">
        <v>0</v>
      </c>
      <c r="G40" s="291">
        <f>SUMIFS(DIÁRIO!$F$7:$F$63,DIÁRIO!$D$7:$D$63,BALANCETE!B40,DIÁRIO!$C$7:$C$63,BALANCETE!$B$133)</f>
        <v>0</v>
      </c>
      <c r="H40" s="291">
        <f>SUMIFS(DIÁRIO!$F$7:$F$63,DIÁRIO!$D$7:$D$63,BALANCETE!B40,DIÁRIO!$C$7:$C$63,BALANCETE!$B$134)</f>
        <v>0</v>
      </c>
      <c r="I40" s="291">
        <f t="shared" si="24"/>
        <v>0</v>
      </c>
      <c r="J40" s="345"/>
      <c r="K40" s="345"/>
      <c r="M40" s="293">
        <f t="shared" si="0"/>
        <v>0</v>
      </c>
      <c r="N40" s="291">
        <f>SUMIFS(DIÁRIO!$F$66:$F$141,DIÁRIO!$D$66:$D$141,BALANCETE!B40,DIÁRIO!$C$66:$C$141,BALANCETE!$B$133)</f>
        <v>0</v>
      </c>
      <c r="O40" s="291">
        <f>SUMIFS(DIÁRIO!$F$66:$F$141,DIÁRIO!$D$66:$D$141,BALANCETE!B40,DIÁRIO!$C$66:$C$141,BALANCETE!$B$134)</f>
        <v>0</v>
      </c>
      <c r="P40" s="291">
        <f t="shared" si="5"/>
        <v>0</v>
      </c>
      <c r="Q40" s="345"/>
      <c r="R40" s="345"/>
      <c r="T40" s="291">
        <f t="shared" si="3"/>
        <v>0</v>
      </c>
      <c r="U40" s="291">
        <f>SUMIFS(DIÁRIO!$F$144:$F$249,DIÁRIO!$D$144:$D$249,BALANCETE!B40,DIÁRIO!$C$144:$C$249,BALANCETE!$B$133)</f>
        <v>0</v>
      </c>
      <c r="V40" s="291">
        <f>SUMIFS(DIÁRIO!$F$144:$F$249,DIÁRIO!$D$144:$D$249,BALANCETE!B40,DIÁRIO!$C$144:$C$249,BALANCETE!$B$134)</f>
        <v>0</v>
      </c>
      <c r="W40" s="291">
        <f t="shared" si="6"/>
        <v>0</v>
      </c>
      <c r="X40" s="345"/>
      <c r="Y40" s="345"/>
    </row>
    <row r="41" spans="2:25" hidden="1" outlineLevel="1">
      <c r="B41" s="287" t="s">
        <v>53</v>
      </c>
      <c r="C41" s="288" t="s">
        <v>54</v>
      </c>
      <c r="F41" s="291">
        <v>0</v>
      </c>
      <c r="G41" s="291">
        <f>SUMIFS(DIÁRIO!$F$7:$F$63,DIÁRIO!$D$7:$D$63,BALANCETE!B41,DIÁRIO!$C$7:$C$63,BALANCETE!$B$133)</f>
        <v>2670</v>
      </c>
      <c r="H41" s="291">
        <f>SUMIFS(DIÁRIO!$F$7:$F$63,DIÁRIO!$D$7:$D$63,BALANCETE!B41,DIÁRIO!$C$7:$C$63,BALANCETE!$B$134)</f>
        <v>0</v>
      </c>
      <c r="I41" s="291">
        <f t="shared" si="24"/>
        <v>2670</v>
      </c>
      <c r="J41" s="345"/>
      <c r="K41" s="345"/>
      <c r="M41" s="291">
        <f t="shared" si="0"/>
        <v>2670</v>
      </c>
      <c r="N41" s="291">
        <f>SUMIFS(DIÁRIO!$F$66:$F$141,DIÁRIO!$D$66:$D$141,BALANCETE!B41,DIÁRIO!$C$66:$C$141,BALANCETE!$B$133)</f>
        <v>0</v>
      </c>
      <c r="O41" s="291">
        <f>SUMIFS(DIÁRIO!$F$66:$F$141,DIÁRIO!$D$66:$D$141,BALANCETE!B41,DIÁRIO!$C$66:$C$141,BALANCETE!$B$134)</f>
        <v>0</v>
      </c>
      <c r="P41" s="291">
        <f t="shared" si="5"/>
        <v>2670</v>
      </c>
      <c r="Q41" s="345"/>
      <c r="R41" s="345"/>
      <c r="T41" s="291">
        <f t="shared" si="3"/>
        <v>2670</v>
      </c>
      <c r="U41" s="291">
        <f>SUMIFS(DIÁRIO!$F$144:$F$249,DIÁRIO!$D$144:$D$249,BALANCETE!B41,DIÁRIO!$C$144:$C$249,BALANCETE!$B$133)</f>
        <v>0</v>
      </c>
      <c r="V41" s="291">
        <f>SUMIFS(DIÁRIO!$F$144:$F$249,DIÁRIO!$D$144:$D$249,BALANCETE!B41,DIÁRIO!$C$144:$C$249,BALANCETE!$B$134)</f>
        <v>0</v>
      </c>
      <c r="W41" s="291">
        <f t="shared" si="6"/>
        <v>2670</v>
      </c>
      <c r="X41" s="345"/>
      <c r="Y41" s="345"/>
    </row>
    <row r="42" spans="2:25" hidden="1" outlineLevel="1">
      <c r="B42" s="287" t="s">
        <v>55</v>
      </c>
      <c r="C42" s="288" t="s">
        <v>56</v>
      </c>
      <c r="F42" s="291">
        <v>0</v>
      </c>
      <c r="G42" s="291">
        <f>SUMIFS(DIÁRIO!$F$7:$F$63,DIÁRIO!$D$7:$D$63,BALANCETE!B42,DIÁRIO!$C$7:$C$63,BALANCETE!$B$133)</f>
        <v>0</v>
      </c>
      <c r="H42" s="291">
        <f>SUMIFS(DIÁRIO!$F$7:$F$63,DIÁRIO!$D$7:$D$63,BALANCETE!B42,DIÁRIO!$C$7:$C$63,BALANCETE!$B$134)</f>
        <v>0</v>
      </c>
      <c r="I42" s="291">
        <f t="shared" si="24"/>
        <v>0</v>
      </c>
      <c r="J42" s="345"/>
      <c r="K42" s="345"/>
      <c r="M42" s="291">
        <f t="shared" si="0"/>
        <v>0</v>
      </c>
      <c r="N42" s="291">
        <f>SUMIFS(DIÁRIO!$F$66:$F$141,DIÁRIO!$D$66:$D$141,BALANCETE!B42,DIÁRIO!$C$66:$C$141,BALANCETE!$B$133)</f>
        <v>0</v>
      </c>
      <c r="O42" s="291">
        <f>SUMIFS(DIÁRIO!$F$66:$F$141,DIÁRIO!$D$66:$D$141,BALANCETE!B42,DIÁRIO!$C$66:$C$141,BALANCETE!$B$134)</f>
        <v>40.049999999999997</v>
      </c>
      <c r="P42" s="291">
        <f t="shared" si="5"/>
        <v>-40.049999999999997</v>
      </c>
      <c r="Q42" s="345"/>
      <c r="R42" s="345"/>
      <c r="T42" s="291">
        <f t="shared" si="3"/>
        <v>-40.049999999999997</v>
      </c>
      <c r="U42" s="291">
        <f>SUMIFS(DIÁRIO!$F$144:$F$249,DIÁRIO!$D$144:$D$249,BALANCETE!B42,DIÁRIO!$C$144:$C$249,BALANCETE!$B$133)</f>
        <v>0</v>
      </c>
      <c r="V42" s="291">
        <f>SUMIFS(DIÁRIO!$F$144:$F$249,DIÁRIO!$D$144:$D$249,BALANCETE!B42,DIÁRIO!$C$144:$C$249,BALANCETE!$B$134)</f>
        <v>110.55</v>
      </c>
      <c r="W42" s="291">
        <f t="shared" si="6"/>
        <v>-150.6</v>
      </c>
      <c r="X42" s="345"/>
      <c r="Y42" s="345"/>
    </row>
    <row r="43" spans="2:25" hidden="1" outlineLevel="1">
      <c r="B43" s="284" t="s">
        <v>57</v>
      </c>
      <c r="C43" s="285" t="s">
        <v>58</v>
      </c>
      <c r="F43" s="293">
        <v>0</v>
      </c>
      <c r="G43" s="293">
        <f>G44+G45</f>
        <v>0</v>
      </c>
      <c r="H43" s="293">
        <f t="shared" ref="H43:I43" si="28">H44+H45</f>
        <v>0</v>
      </c>
      <c r="I43" s="293">
        <f t="shared" si="28"/>
        <v>0</v>
      </c>
      <c r="J43" s="345"/>
      <c r="K43" s="345"/>
      <c r="M43" s="291">
        <f t="shared" si="0"/>
        <v>0</v>
      </c>
      <c r="N43" s="291">
        <f>SUMIFS(DIÁRIO!$F$66:$F$141,DIÁRIO!$D$66:$D$141,BALANCETE!B43,DIÁRIO!$C$66:$C$141,BALANCETE!$B$133)</f>
        <v>0</v>
      </c>
      <c r="O43" s="291">
        <f>SUMIFS(DIÁRIO!$F$66:$F$141,DIÁRIO!$D$66:$D$141,BALANCETE!B43,DIÁRIO!$C$66:$C$141,BALANCETE!$B$134)</f>
        <v>0</v>
      </c>
      <c r="P43" s="293">
        <f t="shared" si="5"/>
        <v>0</v>
      </c>
      <c r="Q43" s="345"/>
      <c r="R43" s="345"/>
      <c r="S43" s="281"/>
      <c r="T43" s="293">
        <f t="shared" si="3"/>
        <v>0</v>
      </c>
      <c r="U43" s="293">
        <f>SUMIFS(DIÁRIO!$F$144:$F$249,DIÁRIO!$D$144:$D$249,BALANCETE!B43,DIÁRIO!$C$144:$C$249,BALANCETE!$B$133)</f>
        <v>0</v>
      </c>
      <c r="V43" s="291">
        <f>SUMIFS(DIÁRIO!$F$144:$F$249,DIÁRIO!$D$144:$D$249,BALANCETE!B43,DIÁRIO!$C$144:$C$249,BALANCETE!$B$134)</f>
        <v>0</v>
      </c>
      <c r="W43" s="293">
        <f t="shared" si="6"/>
        <v>0</v>
      </c>
      <c r="X43" s="345"/>
      <c r="Y43" s="345"/>
    </row>
    <row r="44" spans="2:25" hidden="1" outlineLevel="1">
      <c r="B44" s="287" t="s">
        <v>59</v>
      </c>
      <c r="C44" s="289" t="s">
        <v>60</v>
      </c>
      <c r="F44" s="291">
        <v>0</v>
      </c>
      <c r="G44" s="291">
        <f>SUMIFS(DIÁRIO!$F$7:$F$63,DIÁRIO!$D$7:$D$63,BALANCETE!B44,DIÁRIO!$C$7:$C$63,BALANCETE!$B$133)</f>
        <v>0</v>
      </c>
      <c r="H44" s="291">
        <f>SUMIFS(DIÁRIO!$F$7:$F$63,DIÁRIO!$D$7:$D$63,BALANCETE!B44,DIÁRIO!$C$7:$C$63,BALANCETE!$B$134)</f>
        <v>0</v>
      </c>
      <c r="I44" s="291">
        <f t="shared" si="24"/>
        <v>0</v>
      </c>
      <c r="J44" s="345"/>
      <c r="K44" s="345"/>
      <c r="M44" s="291">
        <f t="shared" si="0"/>
        <v>0</v>
      </c>
      <c r="N44" s="291">
        <f>SUMIFS(DIÁRIO!$F$66:$F$141,DIÁRIO!$D$66:$D$141,BALANCETE!B44,DIÁRIO!$C$66:$C$141,BALANCETE!$B$133)</f>
        <v>0</v>
      </c>
      <c r="O44" s="291">
        <f>SUMIFS(DIÁRIO!$F$66:$F$141,DIÁRIO!$D$66:$D$141,BALANCETE!B44,DIÁRIO!$C$66:$C$141,BALANCETE!$B$134)</f>
        <v>0</v>
      </c>
      <c r="P44" s="291">
        <f t="shared" si="5"/>
        <v>0</v>
      </c>
      <c r="Q44" s="345"/>
      <c r="R44" s="345"/>
      <c r="T44" s="293">
        <f t="shared" si="3"/>
        <v>0</v>
      </c>
      <c r="U44" s="291">
        <f>SUMIFS(DIÁRIO!$F$144:$F$249,DIÁRIO!$D$144:$D$249,BALANCETE!B44,DIÁRIO!$C$144:$C$249,BALANCETE!$B$133)</f>
        <v>0</v>
      </c>
      <c r="V44" s="291">
        <f>SUMIFS(DIÁRIO!$F$144:$F$249,DIÁRIO!$D$144:$D$249,BALANCETE!B44,DIÁRIO!$C$144:$C$249,BALANCETE!$B$134)</f>
        <v>0</v>
      </c>
      <c r="W44" s="291">
        <f t="shared" si="6"/>
        <v>0</v>
      </c>
      <c r="X44" s="345"/>
      <c r="Y44" s="345"/>
    </row>
    <row r="45" spans="2:25" hidden="1" outlineLevel="1">
      <c r="B45" s="287" t="s">
        <v>61</v>
      </c>
      <c r="C45" s="288" t="s">
        <v>62</v>
      </c>
      <c r="F45" s="291">
        <v>0</v>
      </c>
      <c r="G45" s="291">
        <f>SUMIFS(DIÁRIO!$F$7:$F$63,DIÁRIO!$D$7:$D$63,BALANCETE!B45,DIÁRIO!$C$7:$C$63,BALANCETE!$B$133)</f>
        <v>0</v>
      </c>
      <c r="H45" s="291">
        <f>SUMIFS(DIÁRIO!$F$7:$F$63,DIÁRIO!$D$7:$D$63,BALANCETE!B45,DIÁRIO!$C$7:$C$63,BALANCETE!$B$134)</f>
        <v>0</v>
      </c>
      <c r="I45" s="291">
        <f t="shared" si="24"/>
        <v>0</v>
      </c>
      <c r="J45" s="345"/>
      <c r="K45" s="345"/>
      <c r="M45" s="291">
        <f t="shared" si="0"/>
        <v>0</v>
      </c>
      <c r="N45" s="291">
        <f>SUMIFS(DIÁRIO!$F$66:$F$141,DIÁRIO!$D$66:$D$141,BALANCETE!B45,DIÁRIO!$C$66:$C$141,BALANCETE!$B$133)</f>
        <v>0</v>
      </c>
      <c r="O45" s="291">
        <f>SUMIFS(DIÁRIO!$F$66:$F$141,DIÁRIO!$D$66:$D$141,BALANCETE!B45,DIÁRIO!$C$66:$C$141,BALANCETE!$B$134)</f>
        <v>0</v>
      </c>
      <c r="P45" s="291">
        <f t="shared" si="5"/>
        <v>0</v>
      </c>
      <c r="Q45" s="345"/>
      <c r="R45" s="345"/>
      <c r="T45" s="293">
        <f t="shared" si="3"/>
        <v>0</v>
      </c>
      <c r="U45" s="291">
        <f>SUMIFS(DIÁRIO!$F$144:$F$249,DIÁRIO!$D$144:$D$249,BALANCETE!B45,DIÁRIO!$C$144:$C$249,BALANCETE!$B$133)</f>
        <v>0</v>
      </c>
      <c r="V45" s="291">
        <f>SUMIFS(DIÁRIO!$F$144:$F$249,DIÁRIO!$D$144:$D$249,BALANCETE!B45,DIÁRIO!$C$144:$C$249,BALANCETE!$B$134)</f>
        <v>0</v>
      </c>
      <c r="W45" s="291">
        <f t="shared" si="6"/>
        <v>0</v>
      </c>
      <c r="X45" s="345"/>
      <c r="Y45" s="345"/>
    </row>
    <row r="46" spans="2:25" collapsed="1">
      <c r="B46" s="284">
        <v>2</v>
      </c>
      <c r="C46" s="285" t="s">
        <v>63</v>
      </c>
      <c r="F46" s="293">
        <v>0</v>
      </c>
      <c r="G46" s="293">
        <f>G47+G75+G80</f>
        <v>111606.875</v>
      </c>
      <c r="H46" s="293">
        <f t="shared" ref="H46:I46" si="29">H47+H75+H80</f>
        <v>311104.14</v>
      </c>
      <c r="I46" s="293">
        <f t="shared" si="29"/>
        <v>199497.26500000001</v>
      </c>
      <c r="J46" s="345"/>
      <c r="K46" s="345"/>
      <c r="M46" s="293">
        <f t="shared" ref="M46:M90" si="30">I46</f>
        <v>199497.26500000001</v>
      </c>
      <c r="N46" s="293">
        <f>N47+N75+N80</f>
        <v>24752.764999999999</v>
      </c>
      <c r="O46" s="293">
        <f t="shared" ref="O46" si="31">O47+O75+O80</f>
        <v>94949.5</v>
      </c>
      <c r="P46" s="293">
        <f t="shared" ref="P46" si="32">P47+P75+P80</f>
        <v>269694</v>
      </c>
      <c r="Q46" s="345"/>
      <c r="R46" s="345"/>
      <c r="T46" s="293">
        <f t="shared" si="3"/>
        <v>269694</v>
      </c>
      <c r="U46" s="293">
        <f>U47+U75+U80</f>
        <v>8595.125</v>
      </c>
      <c r="V46" s="293">
        <f t="shared" ref="V46:W46" si="33">V47+V75+V80</f>
        <v>67607</v>
      </c>
      <c r="W46" s="293">
        <f t="shared" si="33"/>
        <v>328705.875</v>
      </c>
      <c r="X46" s="345"/>
      <c r="Y46" s="345"/>
    </row>
    <row r="47" spans="2:25" hidden="1" outlineLevel="1">
      <c r="B47" s="284" t="s">
        <v>64</v>
      </c>
      <c r="C47" s="285" t="s">
        <v>65</v>
      </c>
      <c r="F47" s="293">
        <v>0</v>
      </c>
      <c r="G47" s="293">
        <f>G48+G50+G53+G62+G67+G71</f>
        <v>11606.875</v>
      </c>
      <c r="H47" s="293">
        <f t="shared" ref="H47:I47" si="34">H48+H50+H53+H62+H67+H71</f>
        <v>111104.14</v>
      </c>
      <c r="I47" s="293">
        <f t="shared" si="34"/>
        <v>99497.264999999999</v>
      </c>
      <c r="J47" s="345">
        <f>I47/I46</f>
        <v>0.49873999525757906</v>
      </c>
      <c r="K47" s="345"/>
      <c r="M47" s="293">
        <f t="shared" si="30"/>
        <v>99497.264999999999</v>
      </c>
      <c r="N47" s="293">
        <f>N48+N50+N53+N62+N67+N71</f>
        <v>24752.764999999999</v>
      </c>
      <c r="O47" s="293">
        <f t="shared" ref="O47" si="35">O48+O50+O53+O62+O67+O71</f>
        <v>94949.5</v>
      </c>
      <c r="P47" s="293">
        <f t="shared" ref="P47" si="36">P48+P50+P53+P62+P67+P71</f>
        <v>169694</v>
      </c>
      <c r="Q47" s="345">
        <f>P47/P46</f>
        <v>0.62920940028328398</v>
      </c>
      <c r="R47" s="345"/>
      <c r="T47" s="293">
        <f t="shared" si="3"/>
        <v>169694</v>
      </c>
      <c r="U47" s="293">
        <f>U48+U50+U53+U62+U67+U71</f>
        <v>8595.125</v>
      </c>
      <c r="V47" s="293">
        <f t="shared" ref="V47:W47" si="37">V48+V50+V53+V62+V67+V71</f>
        <v>67607</v>
      </c>
      <c r="W47" s="293">
        <f t="shared" si="37"/>
        <v>228705.875</v>
      </c>
      <c r="X47" s="345">
        <f>W47/W46</f>
        <v>0.69577665747531892</v>
      </c>
      <c r="Y47" s="345"/>
    </row>
    <row r="48" spans="2:25" hidden="1" outlineLevel="1">
      <c r="B48" s="284" t="s">
        <v>66</v>
      </c>
      <c r="C48" s="285" t="s">
        <v>67</v>
      </c>
      <c r="F48" s="293">
        <v>0</v>
      </c>
      <c r="G48" s="293">
        <f>G49</f>
        <v>0</v>
      </c>
      <c r="H48" s="293">
        <f t="shared" ref="H48:I48" si="38">H49</f>
        <v>81000</v>
      </c>
      <c r="I48" s="293">
        <f t="shared" si="38"/>
        <v>81000</v>
      </c>
      <c r="J48" s="345">
        <f>I48/I47</f>
        <v>0.81409272908154817</v>
      </c>
      <c r="K48" s="345"/>
      <c r="M48" s="293">
        <f t="shared" si="30"/>
        <v>81000</v>
      </c>
      <c r="N48" s="293">
        <f>N49</f>
        <v>11000</v>
      </c>
      <c r="O48" s="293">
        <f t="shared" ref="O48" si="39">O49</f>
        <v>75000</v>
      </c>
      <c r="P48" s="293">
        <f t="shared" ref="P48" si="40">P49</f>
        <v>145000</v>
      </c>
      <c r="Q48" s="345">
        <f>P48/P47</f>
        <v>0.85447923910097001</v>
      </c>
      <c r="R48" s="345"/>
      <c r="T48" s="293">
        <f t="shared" si="3"/>
        <v>145000</v>
      </c>
      <c r="U48" s="293">
        <f>U49</f>
        <v>0</v>
      </c>
      <c r="V48" s="293">
        <f t="shared" ref="V48:W48" si="41">V49</f>
        <v>45000</v>
      </c>
      <c r="W48" s="293">
        <f t="shared" si="41"/>
        <v>190000</v>
      </c>
      <c r="X48" s="345">
        <f>W48/W47</f>
        <v>0.83076134358157616</v>
      </c>
      <c r="Y48" s="345"/>
    </row>
    <row r="49" spans="2:25" hidden="1" outlineLevel="1">
      <c r="B49" s="287" t="s">
        <v>68</v>
      </c>
      <c r="C49" s="288" t="s">
        <v>69</v>
      </c>
      <c r="F49" s="291">
        <v>0</v>
      </c>
      <c r="G49" s="291">
        <f>SUMIFS(DIÁRIO!$F$7:$F$63,DIÁRIO!$D$7:$D$63,BALANCETE!B49,DIÁRIO!$C$7:$C$63,BALANCETE!$B$133)</f>
        <v>0</v>
      </c>
      <c r="H49" s="291">
        <f>SUMIFS(DIÁRIO!$F$7:$F$63,DIÁRIO!$D$7:$D$63,BALANCETE!B49,DIÁRIO!$C$7:$C$63,BALANCETE!$B$134)</f>
        <v>81000</v>
      </c>
      <c r="I49" s="291">
        <f>F49-G49+H49</f>
        <v>81000</v>
      </c>
      <c r="J49" s="345"/>
      <c r="K49" s="345"/>
      <c r="M49" s="291">
        <f t="shared" si="30"/>
        <v>81000</v>
      </c>
      <c r="N49" s="291">
        <f>SUMIFS(DIÁRIO!$F$66:$F$141,DIÁRIO!$D$66:$D$141,BALANCETE!B49,DIÁRIO!$C$66:$C$141,BALANCETE!$B$133)</f>
        <v>11000</v>
      </c>
      <c r="O49" s="291">
        <f>SUMIFS(DIÁRIO!$F$66:$F$141,DIÁRIO!$D$66:$D$141,BALANCETE!B49,DIÁRIO!$C$66:$C$141,BALANCETE!$B$134)</f>
        <v>75000</v>
      </c>
      <c r="P49" s="291">
        <f t="shared" ref="P49:P107" si="42">M49-N49+O49</f>
        <v>145000</v>
      </c>
      <c r="Q49" s="345"/>
      <c r="R49" s="345"/>
      <c r="T49" s="293">
        <f t="shared" si="3"/>
        <v>145000</v>
      </c>
      <c r="U49" s="291">
        <f>SUMIFS(DIÁRIO!$F$144:$F$249,DIÁRIO!$D$144:$D$249,BALANCETE!B49,DIÁRIO!$C$144:$C$249,BALANCETE!$B$133)</f>
        <v>0</v>
      </c>
      <c r="V49" s="291">
        <f>SUMIFS(DIÁRIO!$F$144:$F$249,DIÁRIO!$D$144:$D$249,BALANCETE!B49,DIÁRIO!$C$144:$C$249,BALANCETE!$B$134)</f>
        <v>45000</v>
      </c>
      <c r="W49" s="291">
        <f t="shared" ref="W49:W89" si="43">T49-U49+V49</f>
        <v>190000</v>
      </c>
      <c r="X49" s="345"/>
      <c r="Y49" s="345"/>
    </row>
    <row r="50" spans="2:25" hidden="1" outlineLevel="1">
      <c r="B50" s="284" t="s">
        <v>70</v>
      </c>
      <c r="C50" s="285" t="s">
        <v>71</v>
      </c>
      <c r="F50" s="293">
        <v>0</v>
      </c>
      <c r="G50" s="293">
        <f>SUM(G51:G52)</f>
        <v>0</v>
      </c>
      <c r="H50" s="293">
        <f t="shared" ref="H50:I50" si="44">SUM(H51:H52)</f>
        <v>0</v>
      </c>
      <c r="I50" s="293">
        <f t="shared" si="44"/>
        <v>0</v>
      </c>
      <c r="J50" s="345"/>
      <c r="K50" s="345"/>
      <c r="M50" s="291">
        <f t="shared" si="30"/>
        <v>0</v>
      </c>
      <c r="N50" s="291">
        <f>SUMIFS(DIÁRIO!$F$66:$F$141,DIÁRIO!$D$66:$D$141,BALANCETE!B50,DIÁRIO!$C$66:$C$141,BALANCETE!$B$133)</f>
        <v>0</v>
      </c>
      <c r="O50" s="291">
        <f>SUMIFS(DIÁRIO!$F$66:$F$141,DIÁRIO!$D$66:$D$141,BALANCETE!B50,DIÁRIO!$C$66:$C$141,BALANCETE!$B$134)</f>
        <v>0</v>
      </c>
      <c r="P50" s="291">
        <f t="shared" si="42"/>
        <v>0</v>
      </c>
      <c r="Q50" s="345"/>
      <c r="R50" s="345"/>
      <c r="T50" s="293">
        <f t="shared" si="3"/>
        <v>0</v>
      </c>
      <c r="U50" s="291">
        <f>SUMIFS(DIÁRIO!$F$144:$F$249,DIÁRIO!$D$144:$D$249,BALANCETE!B50,DIÁRIO!$C$144:$C$249,BALANCETE!$B$133)</f>
        <v>0</v>
      </c>
      <c r="V50" s="291">
        <f>SUMIFS(DIÁRIO!$F$144:$F$249,DIÁRIO!$D$144:$D$249,BALANCETE!B50,DIÁRIO!$C$144:$C$249,BALANCETE!$B$134)</f>
        <v>0</v>
      </c>
      <c r="W50" s="291">
        <f t="shared" si="43"/>
        <v>0</v>
      </c>
      <c r="X50" s="345"/>
      <c r="Y50" s="345"/>
    </row>
    <row r="51" spans="2:25" hidden="1" outlineLevel="1">
      <c r="B51" s="287" t="s">
        <v>72</v>
      </c>
      <c r="C51" s="288" t="s">
        <v>73</v>
      </c>
      <c r="F51" s="291">
        <v>0</v>
      </c>
      <c r="G51" s="291">
        <f>SUMIFS(DIÁRIO!$F$7:$F$63,DIÁRIO!$D$7:$D$63,BALANCETE!B51,DIÁRIO!$C$7:$C$63,BALANCETE!$B$133)</f>
        <v>0</v>
      </c>
      <c r="H51" s="291">
        <f>SUMIFS(DIÁRIO!$F$7:$F$63,DIÁRIO!$D$7:$D$63,BALANCETE!B51,DIÁRIO!$C$7:$C$63,BALANCETE!$B$134)</f>
        <v>0</v>
      </c>
      <c r="I51" s="291">
        <f>F51-G51+H51</f>
        <v>0</v>
      </c>
      <c r="J51" s="345"/>
      <c r="K51" s="345"/>
      <c r="M51" s="291">
        <f t="shared" si="30"/>
        <v>0</v>
      </c>
      <c r="N51" s="291">
        <f>SUMIFS(DIÁRIO!$F$66:$F$141,DIÁRIO!$D$66:$D$141,BALANCETE!B51,DIÁRIO!$C$66:$C$141,BALANCETE!$B$133)</f>
        <v>0</v>
      </c>
      <c r="O51" s="291">
        <f>SUMIFS(DIÁRIO!$F$66:$F$141,DIÁRIO!$D$66:$D$141,BALANCETE!B51,DIÁRIO!$C$66:$C$141,BALANCETE!$B$134)</f>
        <v>0</v>
      </c>
      <c r="P51" s="291">
        <f t="shared" si="42"/>
        <v>0</v>
      </c>
      <c r="Q51" s="345"/>
      <c r="R51" s="345"/>
      <c r="T51" s="293">
        <f t="shared" si="3"/>
        <v>0</v>
      </c>
      <c r="U51" s="291">
        <f>SUMIFS(DIÁRIO!$F$144:$F$249,DIÁRIO!$D$144:$D$249,BALANCETE!B51,DIÁRIO!$C$144:$C$249,BALANCETE!$B$133)</f>
        <v>0</v>
      </c>
      <c r="V51" s="291">
        <f>SUMIFS(DIÁRIO!$F$144:$F$249,DIÁRIO!$D$144:$D$249,BALANCETE!B51,DIÁRIO!$C$144:$C$249,BALANCETE!$B$134)</f>
        <v>0</v>
      </c>
      <c r="W51" s="291">
        <f t="shared" si="43"/>
        <v>0</v>
      </c>
      <c r="X51" s="345"/>
      <c r="Y51" s="345"/>
    </row>
    <row r="52" spans="2:25" hidden="1" outlineLevel="1">
      <c r="B52" s="287" t="s">
        <v>74</v>
      </c>
      <c r="C52" s="288" t="s">
        <v>75</v>
      </c>
      <c r="F52" s="291">
        <v>0</v>
      </c>
      <c r="G52" s="291">
        <f>SUMIFS(DIÁRIO!$F$7:$F$63,DIÁRIO!$D$7:$D$63,BALANCETE!B52,DIÁRIO!$C$7:$C$63,BALANCETE!$B$133)</f>
        <v>0</v>
      </c>
      <c r="H52" s="291">
        <f>SUMIFS(DIÁRIO!$F$7:$F$63,DIÁRIO!$D$7:$D$63,BALANCETE!B52,DIÁRIO!$C$7:$C$63,BALANCETE!$B$134)</f>
        <v>0</v>
      </c>
      <c r="I52" s="291">
        <f>F52-G52+H52</f>
        <v>0</v>
      </c>
      <c r="J52" s="345"/>
      <c r="K52" s="345"/>
      <c r="M52" s="291">
        <f t="shared" si="30"/>
        <v>0</v>
      </c>
      <c r="N52" s="291">
        <f>SUMIFS(DIÁRIO!$F$66:$F$141,DIÁRIO!$D$66:$D$141,BALANCETE!B52,DIÁRIO!$C$66:$C$141,BALANCETE!$B$133)</f>
        <v>0</v>
      </c>
      <c r="O52" s="291">
        <f>SUMIFS(DIÁRIO!$F$66:$F$141,DIÁRIO!$D$66:$D$141,BALANCETE!B52,DIÁRIO!$C$66:$C$141,BALANCETE!$B$134)</f>
        <v>0</v>
      </c>
      <c r="P52" s="291">
        <f t="shared" si="42"/>
        <v>0</v>
      </c>
      <c r="Q52" s="345"/>
      <c r="R52" s="345"/>
      <c r="T52" s="293">
        <f t="shared" si="3"/>
        <v>0</v>
      </c>
      <c r="U52" s="291">
        <f>SUMIFS(DIÁRIO!$F$144:$F$249,DIÁRIO!$D$144:$D$249,BALANCETE!B52,DIÁRIO!$C$144:$C$249,BALANCETE!$B$133)</f>
        <v>0</v>
      </c>
      <c r="V52" s="291">
        <f>SUMIFS(DIÁRIO!$F$144:$F$249,DIÁRIO!$D$144:$D$249,BALANCETE!B52,DIÁRIO!$C$144:$C$249,BALANCETE!$B$134)</f>
        <v>0</v>
      </c>
      <c r="W52" s="291">
        <f t="shared" si="43"/>
        <v>0</v>
      </c>
      <c r="X52" s="345"/>
      <c r="Y52" s="345"/>
    </row>
    <row r="53" spans="2:25" hidden="1" outlineLevel="1">
      <c r="B53" s="284" t="s">
        <v>76</v>
      </c>
      <c r="C53" s="285" t="s">
        <v>77</v>
      </c>
      <c r="F53" s="293">
        <v>0</v>
      </c>
      <c r="G53" s="293">
        <f>SUM(G54:G61)</f>
        <v>5606.8750000000009</v>
      </c>
      <c r="H53" s="293">
        <f>SUM(H54:H61)</f>
        <v>14030.14</v>
      </c>
      <c r="I53" s="293">
        <f t="shared" ref="I53" si="45">SUM(I54:I61)</f>
        <v>8423.2649999999994</v>
      </c>
      <c r="J53" s="345">
        <f>I53/I47</f>
        <v>8.4658256686754155E-2</v>
      </c>
      <c r="K53" s="345"/>
      <c r="M53" s="293">
        <f t="shared" si="30"/>
        <v>8423.2649999999994</v>
      </c>
      <c r="N53" s="293">
        <f>SUM(N54:N61)</f>
        <v>9793.7649999999994</v>
      </c>
      <c r="O53" s="293">
        <f>SUM(O54:O61)</f>
        <v>14517.5</v>
      </c>
      <c r="P53" s="293">
        <f t="shared" ref="P53" si="46">SUM(P54:P61)</f>
        <v>13147</v>
      </c>
      <c r="Q53" s="345">
        <f>P53/P47</f>
        <v>7.7474748665244494E-2</v>
      </c>
      <c r="R53" s="345"/>
      <c r="T53" s="293">
        <f t="shared" si="3"/>
        <v>13147</v>
      </c>
      <c r="U53" s="293">
        <f>SUM(U54:U61)</f>
        <v>3313.1250000000005</v>
      </c>
      <c r="V53" s="293">
        <f>SUM(V54:V61)</f>
        <v>17175</v>
      </c>
      <c r="W53" s="293">
        <f t="shared" ref="W53" si="47">SUM(W54:W61)</f>
        <v>27008.875</v>
      </c>
      <c r="X53" s="345">
        <f>W53/W47</f>
        <v>0.11809436465066758</v>
      </c>
      <c r="Y53" s="345"/>
    </row>
    <row r="54" spans="2:25" hidden="1" outlineLevel="1">
      <c r="B54" s="287" t="s">
        <v>78</v>
      </c>
      <c r="C54" s="288" t="s">
        <v>79</v>
      </c>
      <c r="F54" s="291">
        <v>0</v>
      </c>
      <c r="G54" s="291">
        <f>SUMIFS(DIÁRIO!$F$7:$F$63,DIÁRIO!$D$7:$D$63,BALANCETE!B54,DIÁRIO!$C$7:$C$63,BALANCETE!$B$133)</f>
        <v>0</v>
      </c>
      <c r="H54" s="291">
        <f>SUMIFS(DIÁRIO!$F$7:$F$63,DIÁRIO!$D$7:$D$63,BALANCETE!B54,DIÁRIO!$C$7:$C$63,BALANCETE!$B$134)</f>
        <v>0</v>
      </c>
      <c r="I54" s="291">
        <f>F54-G54+H54</f>
        <v>0</v>
      </c>
      <c r="J54" s="345"/>
      <c r="K54" s="345"/>
      <c r="M54" s="291">
        <f t="shared" si="30"/>
        <v>0</v>
      </c>
      <c r="N54" s="291">
        <f>SUMIFS(DIÁRIO!$F$66:$F$141,DIÁRIO!$D$66:$D$141,BALANCETE!B54,DIÁRIO!$C$66:$C$141,BALANCETE!$B$133)</f>
        <v>0</v>
      </c>
      <c r="O54" s="291">
        <f>SUMIFS(DIÁRIO!$F$66:$F$141,DIÁRIO!$D$66:$D$141,BALANCETE!B54,DIÁRIO!$C$66:$C$141,BALANCETE!$B$134)</f>
        <v>0</v>
      </c>
      <c r="P54" s="291">
        <f t="shared" si="42"/>
        <v>0</v>
      </c>
      <c r="Q54" s="345"/>
      <c r="R54" s="345"/>
      <c r="T54" s="293">
        <f t="shared" si="3"/>
        <v>0</v>
      </c>
      <c r="U54" s="291">
        <f>SUMIFS(DIÁRIO!$F$144:$F$249,DIÁRIO!$D$144:$D$249,BALANCETE!B54,DIÁRIO!$C$144:$C$249,BALANCETE!$B$133)</f>
        <v>0</v>
      </c>
      <c r="V54" s="291">
        <f>SUMIFS(DIÁRIO!$F$144:$F$249,DIÁRIO!$D$144:$D$249,BALANCETE!B54,DIÁRIO!$C$144:$C$249,BALANCETE!$B$134)</f>
        <v>0</v>
      </c>
      <c r="W54" s="291">
        <f t="shared" si="43"/>
        <v>0</v>
      </c>
      <c r="X54" s="345"/>
      <c r="Y54" s="345"/>
    </row>
    <row r="55" spans="2:25" hidden="1" outlineLevel="1">
      <c r="B55" s="287" t="s">
        <v>80</v>
      </c>
      <c r="C55" s="288" t="s">
        <v>81</v>
      </c>
      <c r="F55" s="291">
        <v>0</v>
      </c>
      <c r="G55" s="291">
        <f>SUMIFS(DIÁRIO!$F$7:$F$63,DIÁRIO!$D$7:$D$63,BALANCETE!B55,DIÁRIO!$C$7:$C$63,BALANCETE!$B$133)</f>
        <v>5606.8750000000009</v>
      </c>
      <c r="H55" s="291">
        <f>SUMIFS(DIÁRIO!$F$7:$F$63,DIÁRIO!$D$7:$D$63,BALANCETE!B55,DIÁRIO!$C$7:$C$63,BALANCETE!$B$134)</f>
        <v>10800</v>
      </c>
      <c r="I55" s="291">
        <f t="shared" ref="I55:I74" si="48">F55-G55+H55</f>
        <v>5193.1249999999991</v>
      </c>
      <c r="J55" s="345"/>
      <c r="K55" s="345"/>
      <c r="M55" s="291">
        <f t="shared" si="30"/>
        <v>5193.1249999999991</v>
      </c>
      <c r="N55" s="291">
        <f>SUMIFS(DIÁRIO!$F$66:$F$141,DIÁRIO!$D$66:$D$141,BALANCETE!B55,DIÁRIO!$C$66:$C$141,BALANCETE!$B$133)</f>
        <v>9013.125</v>
      </c>
      <c r="O55" s="291">
        <f>SUMIFS(DIÁRIO!$F$66:$F$141,DIÁRIO!$D$66:$D$141,BALANCETE!B55,DIÁRIO!$C$66:$C$141,BALANCETE!$B$134)</f>
        <v>10800</v>
      </c>
      <c r="P55" s="291">
        <f t="shared" si="42"/>
        <v>6979.9999999999991</v>
      </c>
      <c r="Q55" s="345"/>
      <c r="R55" s="345"/>
      <c r="T55" s="293">
        <f t="shared" si="3"/>
        <v>6979.9999999999991</v>
      </c>
      <c r="U55" s="291">
        <f>SUMIFS(DIÁRIO!$F$144:$F$249,DIÁRIO!$D$144:$D$249,BALANCETE!B55,DIÁRIO!$C$144:$C$249,BALANCETE!$B$133)</f>
        <v>3163.1250000000005</v>
      </c>
      <c r="V55" s="291">
        <f>SUMIFS(DIÁRIO!$F$144:$F$249,DIÁRIO!$D$144:$D$249,BALANCETE!B55,DIÁRIO!$C$144:$C$249,BALANCETE!$B$134)</f>
        <v>9180</v>
      </c>
      <c r="W55" s="291">
        <f t="shared" si="43"/>
        <v>12996.874999999998</v>
      </c>
      <c r="X55" s="345"/>
      <c r="Y55" s="345"/>
    </row>
    <row r="56" spans="2:25" hidden="1" outlineLevel="1">
      <c r="B56" s="287" t="s">
        <v>82</v>
      </c>
      <c r="C56" s="288" t="s">
        <v>655</v>
      </c>
      <c r="F56" s="291">
        <v>0</v>
      </c>
      <c r="G56" s="291">
        <f>SUMIFS(DIÁRIO!$F$7:$F$63,DIÁRIO!$D$7:$D$63,BALANCETE!B56,DIÁRIO!$C$7:$C$63,BALANCETE!$B$133)</f>
        <v>0</v>
      </c>
      <c r="H56" s="291">
        <f>SUMIFS(DIÁRIO!$F$7:$F$63,DIÁRIO!$D$7:$D$63,BALANCETE!B56,DIÁRIO!$C$7:$C$63,BALANCETE!$B$134)</f>
        <v>150</v>
      </c>
      <c r="I56" s="291">
        <f t="shared" si="48"/>
        <v>150</v>
      </c>
      <c r="J56" s="345"/>
      <c r="K56" s="345"/>
      <c r="M56" s="291">
        <f t="shared" si="30"/>
        <v>150</v>
      </c>
      <c r="N56" s="291">
        <f>SUMIFS(DIÁRIO!$F$66:$F$141,DIÁRIO!$D$66:$D$141,BALANCETE!B56,DIÁRIO!$C$66:$C$141,BALANCETE!$B$133)</f>
        <v>0</v>
      </c>
      <c r="O56" s="291">
        <f>SUMIFS(DIÁRIO!$F$66:$F$141,DIÁRIO!$D$66:$D$141,BALANCETE!B56,DIÁRIO!$C$66:$C$141,BALANCETE!$B$134)</f>
        <v>250</v>
      </c>
      <c r="P56" s="291">
        <f t="shared" si="42"/>
        <v>400</v>
      </c>
      <c r="Q56" s="345"/>
      <c r="R56" s="345"/>
      <c r="T56" s="293">
        <f t="shared" si="3"/>
        <v>400</v>
      </c>
      <c r="U56" s="291">
        <f>SUMIFS(DIÁRIO!$F$144:$F$249,DIÁRIO!$D$144:$D$249,BALANCETE!B56,DIÁRIO!$C$144:$C$249,BALANCETE!$B$133)</f>
        <v>100</v>
      </c>
      <c r="V56" s="291">
        <f>SUMIFS(DIÁRIO!$F$144:$F$249,DIÁRIO!$D$144:$D$249,BALANCETE!B56,DIÁRIO!$C$144:$C$249,BALANCETE!$B$134)</f>
        <v>250</v>
      </c>
      <c r="W56" s="291">
        <f t="shared" si="43"/>
        <v>550</v>
      </c>
      <c r="X56" s="345"/>
      <c r="Y56" s="345"/>
    </row>
    <row r="57" spans="2:25" hidden="1" outlineLevel="1">
      <c r="B57" s="287" t="s">
        <v>216</v>
      </c>
      <c r="C57" s="288" t="s">
        <v>228</v>
      </c>
      <c r="F57" s="291">
        <v>0</v>
      </c>
      <c r="G57" s="291">
        <f>SUMIFS(DIÁRIO!$F$7:$F$63,DIÁRIO!$D$7:$D$63,BALANCETE!B57,DIÁRIO!$C$7:$C$63,BALANCETE!$B$133)</f>
        <v>0</v>
      </c>
      <c r="H57" s="291">
        <f>SUMIFS(DIÁRIO!$F$7:$F$63,DIÁRIO!$D$7:$D$63,BALANCETE!B57,DIÁRIO!$C$7:$C$63,BALANCETE!$B$134)</f>
        <v>409.50000000000006</v>
      </c>
      <c r="I57" s="291">
        <f t="shared" si="48"/>
        <v>409.50000000000006</v>
      </c>
      <c r="J57" s="345"/>
      <c r="K57" s="345"/>
      <c r="M57" s="291">
        <f t="shared" si="30"/>
        <v>409.50000000000006</v>
      </c>
      <c r="N57" s="291">
        <f>SUMIFS(DIÁRIO!$F$66:$F$141,DIÁRIO!$D$66:$D$141,BALANCETE!B57,DIÁRIO!$C$66:$C$141,BALANCETE!$B$133)</f>
        <v>0</v>
      </c>
      <c r="O57" s="291">
        <f>SUMIFS(DIÁRIO!$F$66:$F$141,DIÁRIO!$D$66:$D$141,BALANCETE!B57,DIÁRIO!$C$66:$C$141,BALANCETE!$B$134)</f>
        <v>617.5</v>
      </c>
      <c r="P57" s="291">
        <f t="shared" si="42"/>
        <v>1027</v>
      </c>
      <c r="Q57" s="345"/>
      <c r="R57" s="345"/>
      <c r="T57" s="293">
        <f t="shared" si="3"/>
        <v>1027</v>
      </c>
      <c r="U57" s="291">
        <f>SUMIFS(DIÁRIO!$F$144:$F$249,DIÁRIO!$D$144:$D$249,BALANCETE!B57,DIÁRIO!$C$144:$C$249,BALANCETE!$B$133)</f>
        <v>0</v>
      </c>
      <c r="V57" s="291">
        <f>SUMIFS(DIÁRIO!$F$144:$F$249,DIÁRIO!$D$144:$D$249,BALANCETE!B57,DIÁRIO!$C$144:$C$249,BALANCETE!$B$134)</f>
        <v>364.00000000000006</v>
      </c>
      <c r="W57" s="291">
        <f t="shared" si="43"/>
        <v>1391</v>
      </c>
      <c r="X57" s="345"/>
      <c r="Y57" s="345"/>
    </row>
    <row r="58" spans="2:25" hidden="1" outlineLevel="1">
      <c r="B58" s="287" t="s">
        <v>230</v>
      </c>
      <c r="C58" s="288" t="s">
        <v>229</v>
      </c>
      <c r="F58" s="291">
        <v>0</v>
      </c>
      <c r="G58" s="291">
        <f>SUMIFS(DIÁRIO!$F$7:$F$63,DIÁRIO!$D$7:$D$63,BALANCETE!B58,DIÁRIO!$C$7:$C$63,BALANCETE!$B$133)</f>
        <v>0</v>
      </c>
      <c r="H58" s="291">
        <f>SUMIFS(DIÁRIO!$F$7:$F$63,DIÁRIO!$D$7:$D$63,BALANCETE!B58,DIÁRIO!$C$7:$C$63,BALANCETE!$B$134)</f>
        <v>1890</v>
      </c>
      <c r="I58" s="291">
        <f t="shared" si="48"/>
        <v>1890</v>
      </c>
      <c r="J58" s="345"/>
      <c r="K58" s="345"/>
      <c r="M58" s="291">
        <f t="shared" si="30"/>
        <v>1890</v>
      </c>
      <c r="N58" s="291">
        <f>SUMIFS(DIÁRIO!$F$66:$F$141,DIÁRIO!$D$66:$D$141,BALANCETE!B58,DIÁRIO!$C$66:$C$141,BALANCETE!$B$133)</f>
        <v>0</v>
      </c>
      <c r="O58" s="291">
        <f>SUMIFS(DIÁRIO!$F$66:$F$141,DIÁRIO!$D$66:$D$141,BALANCETE!B58,DIÁRIO!$C$66:$C$141,BALANCETE!$B$134)</f>
        <v>2850</v>
      </c>
      <c r="P58" s="291">
        <f t="shared" si="42"/>
        <v>4740</v>
      </c>
      <c r="Q58" s="345"/>
      <c r="R58" s="345"/>
      <c r="T58" s="293">
        <f t="shared" si="3"/>
        <v>4740</v>
      </c>
      <c r="U58" s="291">
        <f>SUMIFS(DIÁRIO!$F$144:$F$249,DIÁRIO!$D$144:$D$249,BALANCETE!B58,DIÁRIO!$C$144:$C$249,BALANCETE!$B$133)</f>
        <v>0</v>
      </c>
      <c r="V58" s="291">
        <f>SUMIFS(DIÁRIO!$F$144:$F$249,DIÁRIO!$D$144:$D$249,BALANCETE!B58,DIÁRIO!$C$144:$C$249,BALANCETE!$B$134)</f>
        <v>1680</v>
      </c>
      <c r="W58" s="291">
        <f t="shared" si="43"/>
        <v>6420</v>
      </c>
      <c r="X58" s="345"/>
      <c r="Y58" s="345"/>
    </row>
    <row r="59" spans="2:25" hidden="1" outlineLevel="1">
      <c r="B59" s="287" t="s">
        <v>231</v>
      </c>
      <c r="C59" s="288" t="s">
        <v>233</v>
      </c>
      <c r="F59" s="291">
        <v>0</v>
      </c>
      <c r="G59" s="291">
        <f>SUMIFS(DIÁRIO!$F$7:$F$63,DIÁRIO!$D$7:$D$63,BALANCETE!B59,DIÁRIO!$C$7:$C$63,BALANCETE!$B$133)</f>
        <v>0</v>
      </c>
      <c r="H59" s="291">
        <f>SUMIFS(DIÁRIO!$F$7:$F$63,DIÁRIO!$D$7:$D$63,BALANCETE!B59,DIÁRIO!$C$7:$C$63,BALANCETE!$B$134)</f>
        <v>0</v>
      </c>
      <c r="I59" s="291">
        <f t="shared" si="48"/>
        <v>0</v>
      </c>
      <c r="J59" s="345"/>
      <c r="K59" s="345"/>
      <c r="M59" s="291">
        <f t="shared" si="30"/>
        <v>0</v>
      </c>
      <c r="N59" s="291">
        <f>SUMIFS(DIÁRIO!$F$66:$F$141,DIÁRIO!$D$66:$D$141,BALANCETE!B59,DIÁRIO!$C$66:$C$141,BALANCETE!$B$133)</f>
        <v>0</v>
      </c>
      <c r="O59" s="291">
        <f>SUMIFS(DIÁRIO!$F$66:$F$141,DIÁRIO!$D$66:$D$141,BALANCETE!B59,DIÁRIO!$C$66:$C$141,BALANCETE!$B$134)</f>
        <v>0</v>
      </c>
      <c r="P59" s="291">
        <f t="shared" si="42"/>
        <v>0</v>
      </c>
      <c r="Q59" s="345"/>
      <c r="R59" s="345"/>
      <c r="T59" s="293">
        <f t="shared" si="3"/>
        <v>0</v>
      </c>
      <c r="U59" s="291">
        <f>SUMIFS(DIÁRIO!$F$144:$F$249,DIÁRIO!$D$144:$D$249,BALANCETE!B59,DIÁRIO!$C$144:$C$249,BALANCETE!$B$133)</f>
        <v>0</v>
      </c>
      <c r="V59" s="291">
        <f>SUMIFS(DIÁRIO!$F$144:$F$249,DIÁRIO!$D$144:$D$249,BALANCETE!B59,DIÁRIO!$C$144:$C$249,BALANCETE!$B$134)</f>
        <v>2590</v>
      </c>
      <c r="W59" s="291">
        <f t="shared" si="43"/>
        <v>2590</v>
      </c>
      <c r="X59" s="345"/>
      <c r="Y59" s="345"/>
    </row>
    <row r="60" spans="2:25" hidden="1" outlineLevel="1">
      <c r="B60" s="287" t="s">
        <v>232</v>
      </c>
      <c r="C60" s="288" t="s">
        <v>234</v>
      </c>
      <c r="F60" s="291">
        <v>0</v>
      </c>
      <c r="G60" s="291">
        <f>SUMIFS(DIÁRIO!$F$7:$F$63,DIÁRIO!$D$7:$D$63,BALANCETE!B60,DIÁRIO!$C$7:$C$63,BALANCETE!$B$133)</f>
        <v>0</v>
      </c>
      <c r="H60" s="291">
        <f>SUMIFS(DIÁRIO!$F$7:$F$63,DIÁRIO!$D$7:$D$63,BALANCETE!B60,DIÁRIO!$C$7:$C$63,BALANCETE!$B$134)</f>
        <v>0</v>
      </c>
      <c r="I60" s="291">
        <f t="shared" si="48"/>
        <v>0</v>
      </c>
      <c r="J60" s="345"/>
      <c r="K60" s="345"/>
      <c r="M60" s="291">
        <f t="shared" si="30"/>
        <v>0</v>
      </c>
      <c r="N60" s="291">
        <f>SUMIFS(DIÁRIO!$F$66:$F$141,DIÁRIO!$D$66:$D$141,BALANCETE!B60,DIÁRIO!$C$66:$C$141,BALANCETE!$B$133)</f>
        <v>0</v>
      </c>
      <c r="O60" s="291">
        <f>SUMIFS(DIÁRIO!$F$66:$F$141,DIÁRIO!$D$66:$D$141,BALANCETE!B60,DIÁRIO!$C$66:$C$141,BALANCETE!$B$134)</f>
        <v>0</v>
      </c>
      <c r="P60" s="291">
        <f t="shared" si="42"/>
        <v>0</v>
      </c>
      <c r="Q60" s="345"/>
      <c r="R60" s="345"/>
      <c r="T60" s="293">
        <f t="shared" si="3"/>
        <v>0</v>
      </c>
      <c r="U60" s="291">
        <f>SUMIFS(DIÁRIO!$F$144:$F$249,DIÁRIO!$D$144:$D$249,BALANCETE!B60,DIÁRIO!$C$144:$C$249,BALANCETE!$B$133)</f>
        <v>50</v>
      </c>
      <c r="V60" s="291">
        <f>SUMIFS(DIÁRIO!$F$144:$F$249,DIÁRIO!$D$144:$D$249,BALANCETE!B60,DIÁRIO!$C$144:$C$249,BALANCETE!$B$134)</f>
        <v>3111</v>
      </c>
      <c r="W60" s="291">
        <f t="shared" si="43"/>
        <v>3061</v>
      </c>
      <c r="X60" s="345"/>
      <c r="Y60" s="345"/>
    </row>
    <row r="61" spans="2:25" hidden="1" outlineLevel="1">
      <c r="B61" s="287" t="s">
        <v>565</v>
      </c>
      <c r="C61" s="288" t="s">
        <v>566</v>
      </c>
      <c r="F61" s="291">
        <v>0</v>
      </c>
      <c r="G61" s="291">
        <f>SUMIFS(DIÁRIO!$F$7:$F$63,DIÁRIO!$D$7:$D$63,BALANCETE!B61,DIÁRIO!$C$7:$C$63,BALANCETE!$B$133)</f>
        <v>0</v>
      </c>
      <c r="H61" s="291">
        <f>SUMIFS(DIÁRIO!$F$7:$F$63,DIÁRIO!$D$7:$D$63,BALANCETE!B61,DIÁRIO!$C$7:$C$63,BALANCETE!$B$134)</f>
        <v>780.64</v>
      </c>
      <c r="I61" s="291">
        <f t="shared" si="48"/>
        <v>780.64</v>
      </c>
      <c r="J61" s="345"/>
      <c r="K61" s="345"/>
      <c r="M61" s="291">
        <f t="shared" si="30"/>
        <v>780.64</v>
      </c>
      <c r="N61" s="291">
        <f>SUMIFS(DIÁRIO!$F$66:$F$141,DIÁRIO!$D$66:$D$141,BALANCETE!B61,DIÁRIO!$C$66:$C$141,BALANCETE!$B$133)</f>
        <v>780.64</v>
      </c>
      <c r="O61" s="291">
        <f>SUMIFS(DIÁRIO!$F$66:$F$141,DIÁRIO!$D$66:$D$141,BALANCETE!B61,DIÁRIO!$C$66:$C$141,BALANCETE!$B$134)</f>
        <v>0</v>
      </c>
      <c r="P61" s="291">
        <f t="shared" si="42"/>
        <v>0</v>
      </c>
      <c r="Q61" s="345"/>
      <c r="R61" s="345"/>
      <c r="T61" s="293">
        <f t="shared" si="3"/>
        <v>0</v>
      </c>
      <c r="U61" s="291">
        <f>SUMIFS(DIÁRIO!$F$144:$F$249,DIÁRIO!$D$144:$D$249,BALANCETE!B61,DIÁRIO!$C$144:$C$249,BALANCETE!$B$133)</f>
        <v>0</v>
      </c>
      <c r="V61" s="291">
        <f>SUMIFS(DIÁRIO!$F$144:$F$249,DIÁRIO!$D$144:$D$249,BALANCETE!B61,DIÁRIO!$C$144:$C$249,BALANCETE!$B$134)</f>
        <v>0</v>
      </c>
      <c r="W61" s="291">
        <f t="shared" si="43"/>
        <v>0</v>
      </c>
      <c r="X61" s="345"/>
      <c r="Y61" s="345"/>
    </row>
    <row r="62" spans="2:25" hidden="1" outlineLevel="1">
      <c r="B62" s="284" t="s">
        <v>83</v>
      </c>
      <c r="C62" s="285" t="s">
        <v>84</v>
      </c>
      <c r="F62" s="293">
        <v>0</v>
      </c>
      <c r="G62" s="293">
        <f>SUM(G63:G66)</f>
        <v>0</v>
      </c>
      <c r="H62" s="293">
        <f t="shared" ref="H62:I62" si="49">SUM(H63:H66)</f>
        <v>4074</v>
      </c>
      <c r="I62" s="293">
        <f t="shared" si="49"/>
        <v>4074</v>
      </c>
      <c r="J62" s="345">
        <f>I62/I47</f>
        <v>4.0945849114546011E-2</v>
      </c>
      <c r="K62" s="345"/>
      <c r="M62" s="293">
        <f t="shared" si="30"/>
        <v>4074</v>
      </c>
      <c r="N62" s="293">
        <f>SUM(N63:N66)</f>
        <v>3959</v>
      </c>
      <c r="O62" s="293">
        <f t="shared" ref="O62" si="50">SUM(O63:O66)</f>
        <v>5432</v>
      </c>
      <c r="P62" s="293">
        <f t="shared" ref="P62" si="51">SUM(P63:P66)</f>
        <v>5547</v>
      </c>
      <c r="Q62" s="345">
        <f>P62/P47</f>
        <v>3.2688250615814346E-2</v>
      </c>
      <c r="R62" s="345"/>
      <c r="T62" s="293">
        <f t="shared" si="3"/>
        <v>5547</v>
      </c>
      <c r="U62" s="293">
        <f>SUM(U63:U66)</f>
        <v>5282</v>
      </c>
      <c r="V62" s="293">
        <f t="shared" ref="V62:W62" si="52">SUM(V63:V66)</f>
        <v>5432</v>
      </c>
      <c r="W62" s="293">
        <f t="shared" si="52"/>
        <v>5697</v>
      </c>
      <c r="X62" s="345">
        <f>W62/W47</f>
        <v>2.4909723023074943E-2</v>
      </c>
      <c r="Y62" s="345"/>
    </row>
    <row r="63" spans="2:25" hidden="1" outlineLevel="1">
      <c r="B63" s="287" t="s">
        <v>85</v>
      </c>
      <c r="C63" s="288" t="s">
        <v>86</v>
      </c>
      <c r="F63" s="291">
        <v>0</v>
      </c>
      <c r="G63" s="291">
        <f>SUMIFS(DIÁRIO!$F$7:$F$63,DIÁRIO!$D$7:$D$63,BALANCETE!B63,DIÁRIO!$C$7:$C$63,BALANCETE!$B$133)</f>
        <v>0</v>
      </c>
      <c r="H63" s="291">
        <f>SUMIFS(DIÁRIO!$F$7:$F$63,DIÁRIO!$D$7:$D$63,BALANCETE!B63,DIÁRIO!$C$7:$C$63,BALANCETE!$B$134)</f>
        <v>2645</v>
      </c>
      <c r="I63" s="291">
        <f t="shared" si="48"/>
        <v>2645</v>
      </c>
      <c r="J63" s="345"/>
      <c r="K63" s="345"/>
      <c r="M63" s="291">
        <f t="shared" si="30"/>
        <v>2645</v>
      </c>
      <c r="N63" s="291">
        <f>SUMIFS(DIÁRIO!$F$66:$F$141,DIÁRIO!$D$66:$D$141,BALANCETE!B63,DIÁRIO!$C$66:$C$141,BALANCETE!$B$133)</f>
        <v>2645</v>
      </c>
      <c r="O63" s="291">
        <f>SUMIFS(DIÁRIO!$F$66:$F$141,DIÁRIO!$D$66:$D$141,BALANCETE!B63,DIÁRIO!$C$66:$C$141,BALANCETE!$B$134)</f>
        <v>3415</v>
      </c>
      <c r="P63" s="291">
        <f t="shared" si="42"/>
        <v>3415</v>
      </c>
      <c r="Q63" s="345"/>
      <c r="R63" s="345"/>
      <c r="T63" s="293">
        <f t="shared" si="3"/>
        <v>3415</v>
      </c>
      <c r="U63" s="291">
        <f>SUMIFS(DIÁRIO!$F$144:$F$249,DIÁRIO!$D$144:$D$249,BALANCETE!B63,DIÁRIO!$C$144:$C$249,BALANCETE!$B$133)</f>
        <v>3415</v>
      </c>
      <c r="V63" s="291">
        <f>SUMIFS(DIÁRIO!$F$144:$F$224,DIÁRIO!$D$144:$D$224,BALANCETE!B63,DIÁRIO!$C$144:$C$224,BALANCETE!$B$134)</f>
        <v>3415</v>
      </c>
      <c r="W63" s="291">
        <f t="shared" si="43"/>
        <v>3415</v>
      </c>
      <c r="X63" s="345"/>
      <c r="Y63" s="345"/>
    </row>
    <row r="64" spans="2:25" hidden="1" outlineLevel="1">
      <c r="B64" s="287" t="s">
        <v>87</v>
      </c>
      <c r="C64" s="288" t="s">
        <v>394</v>
      </c>
      <c r="F64" s="291">
        <v>0</v>
      </c>
      <c r="G64" s="291">
        <f>SUMIFS(DIÁRIO!$F$7:$F$63,DIÁRIO!$D$7:$D$63,BALANCETE!B64,DIÁRIO!$C$7:$C$63,BALANCETE!$B$133)</f>
        <v>0</v>
      </c>
      <c r="H64" s="291">
        <f>SUMIFS(DIÁRIO!$F$7:$F$63,DIÁRIO!$D$7:$D$63,BALANCETE!B64,DIÁRIO!$C$7:$C$63,BALANCETE!$B$134)</f>
        <v>240</v>
      </c>
      <c r="I64" s="291">
        <f t="shared" si="48"/>
        <v>240</v>
      </c>
      <c r="J64" s="345"/>
      <c r="K64" s="345"/>
      <c r="M64" s="291">
        <f t="shared" si="30"/>
        <v>240</v>
      </c>
      <c r="N64" s="291">
        <f>SUMIFS(DIÁRIO!$F$66:$F$141,DIÁRIO!$D$66:$D$141,BALANCETE!B64,DIÁRIO!$C$66:$C$141,BALANCETE!$B$133)</f>
        <v>240</v>
      </c>
      <c r="O64" s="291">
        <f>SUMIFS(DIÁRIO!$F$66:$F$141,DIÁRIO!$D$66:$D$141,BALANCETE!B64,DIÁRIO!$C$66:$C$141,BALANCETE!$B$134)</f>
        <v>320</v>
      </c>
      <c r="P64" s="291">
        <f t="shared" si="42"/>
        <v>320</v>
      </c>
      <c r="Q64" s="345"/>
      <c r="R64" s="345"/>
      <c r="T64" s="293">
        <f t="shared" si="3"/>
        <v>320</v>
      </c>
      <c r="U64" s="291">
        <f>SUMIFS(DIÁRIO!$F$144:$F$249,DIÁRIO!$D$144:$D$249,BALANCETE!B64,DIÁRIO!$C$144:$C$249,BALANCETE!$B$133)</f>
        <v>320</v>
      </c>
      <c r="V64" s="291">
        <f>SUMIFS(DIÁRIO!$F$144:$F$224,DIÁRIO!$D$144:$D$224,BALANCETE!B64,DIÁRIO!$C$144:$C$224,BALANCETE!$B$134)</f>
        <v>320</v>
      </c>
      <c r="W64" s="291">
        <f t="shared" si="43"/>
        <v>320</v>
      </c>
      <c r="X64" s="345"/>
      <c r="Y64" s="345"/>
    </row>
    <row r="65" spans="2:25" hidden="1" outlineLevel="1">
      <c r="B65" s="288" t="s">
        <v>88</v>
      </c>
      <c r="C65" s="288" t="s">
        <v>393</v>
      </c>
      <c r="F65" s="291">
        <v>0</v>
      </c>
      <c r="G65" s="291">
        <f>SUMIFS(DIÁRIO!$F$7:$F$63,DIÁRIO!$D$7:$D$63,BALANCETE!B65,DIÁRIO!$C$7:$C$63,BALANCETE!$B$133)</f>
        <v>0</v>
      </c>
      <c r="H65" s="291">
        <f>SUMIFS(DIÁRIO!$F$7:$F$63,DIÁRIO!$D$7:$D$63,BALANCETE!B65,DIÁRIO!$C$7:$C$63,BALANCETE!$B$134)</f>
        <v>1074</v>
      </c>
      <c r="I65" s="291">
        <f t="shared" si="48"/>
        <v>1074</v>
      </c>
      <c r="J65" s="345"/>
      <c r="K65" s="345"/>
      <c r="M65" s="291">
        <f t="shared" si="30"/>
        <v>1074</v>
      </c>
      <c r="N65" s="291">
        <f>SUMIFS(DIÁRIO!$F$66:$F$141,DIÁRIO!$D$66:$D$141,BALANCETE!B65,DIÁRIO!$C$66:$C$141,BALANCETE!$B$133)</f>
        <v>1074</v>
      </c>
      <c r="O65" s="291">
        <f>SUMIFS(DIÁRIO!$F$66:$F$141,DIÁRIO!$D$66:$D$141,BALANCETE!B65,DIÁRIO!$C$66:$C$141,BALANCETE!$B$134)</f>
        <v>1432</v>
      </c>
      <c r="P65" s="291">
        <f t="shared" si="42"/>
        <v>1432</v>
      </c>
      <c r="Q65" s="345"/>
      <c r="R65" s="345"/>
      <c r="T65" s="293">
        <f t="shared" si="3"/>
        <v>1432</v>
      </c>
      <c r="U65" s="291">
        <f>SUMIFS(DIÁRIO!$F$144:$F$249,DIÁRIO!$D$144:$D$249,BALANCETE!B65,DIÁRIO!$C$144:$C$249,BALANCETE!$B$133)</f>
        <v>1432</v>
      </c>
      <c r="V65" s="291">
        <f>SUMIFS(DIÁRIO!$F$144:$F$224,DIÁRIO!$D$144:$D$224,BALANCETE!B65,DIÁRIO!$C$144:$C$224,BALANCETE!$B$134)</f>
        <v>1432</v>
      </c>
      <c r="W65" s="291">
        <f t="shared" si="43"/>
        <v>1432</v>
      </c>
      <c r="X65" s="345"/>
      <c r="Y65" s="345"/>
    </row>
    <row r="66" spans="2:25" hidden="1" outlineLevel="1">
      <c r="B66" s="288" t="s">
        <v>219</v>
      </c>
      <c r="C66" s="288" t="s">
        <v>220</v>
      </c>
      <c r="F66" s="291">
        <v>0</v>
      </c>
      <c r="G66" s="291">
        <f>SUMIFS(DIÁRIO!$F$7:$F$63,DIÁRIO!$D$7:$D$63,BALANCETE!B66,DIÁRIO!$C$7:$C$63,BALANCETE!$B$133)</f>
        <v>0</v>
      </c>
      <c r="H66" s="291">
        <f>SUMIFS(DIÁRIO!$F$7:$F$63,DIÁRIO!$D$7:$D$63,BALANCETE!B66,DIÁRIO!$C$7:$C$63,BALANCETE!$B$134)</f>
        <v>115</v>
      </c>
      <c r="I66" s="291">
        <f t="shared" si="48"/>
        <v>115</v>
      </c>
      <c r="J66" s="345"/>
      <c r="K66" s="345"/>
      <c r="M66" s="291">
        <f t="shared" si="30"/>
        <v>115</v>
      </c>
      <c r="N66" s="291">
        <f>SUMIFS(DIÁRIO!$F$66:$F$141,DIÁRIO!$D$66:$D$141,BALANCETE!B66,DIÁRIO!$C$66:$C$141,BALANCETE!$B$133)</f>
        <v>0</v>
      </c>
      <c r="O66" s="291">
        <f>SUMIFS(DIÁRIO!$F$66:$F$141,DIÁRIO!$D$66:$D$141,BALANCETE!B66,DIÁRIO!$C$66:$C$141,BALANCETE!$B$134)</f>
        <v>265</v>
      </c>
      <c r="P66" s="291">
        <f t="shared" si="42"/>
        <v>380</v>
      </c>
      <c r="Q66" s="345"/>
      <c r="R66" s="345"/>
      <c r="T66" s="293">
        <f t="shared" si="3"/>
        <v>380</v>
      </c>
      <c r="U66" s="291">
        <f>SUMIFS(DIÁRIO!$F$144:$F$249,DIÁRIO!$D$144:$D$249,BALANCETE!B66,DIÁRIO!$C$144:$C$249,BALANCETE!$B$133)</f>
        <v>115</v>
      </c>
      <c r="V66" s="291">
        <f>SUMIFS(DIÁRIO!$F$144:$F$224,DIÁRIO!$D$144:$D$224,BALANCETE!B66,DIÁRIO!$C$144:$C$224,BALANCETE!$B$134)</f>
        <v>265</v>
      </c>
      <c r="W66" s="291">
        <f t="shared" si="43"/>
        <v>530</v>
      </c>
      <c r="X66" s="345"/>
      <c r="Y66" s="345"/>
    </row>
    <row r="67" spans="2:25" hidden="1" outlineLevel="1">
      <c r="B67" s="284" t="s">
        <v>89</v>
      </c>
      <c r="C67" s="285" t="s">
        <v>90</v>
      </c>
      <c r="F67" s="293">
        <v>0</v>
      </c>
      <c r="G67" s="293">
        <f>SUM(G68:G70)</f>
        <v>6000</v>
      </c>
      <c r="H67" s="293">
        <f t="shared" ref="H67:I67" si="53">SUM(H68:H70)</f>
        <v>12000</v>
      </c>
      <c r="I67" s="293">
        <f t="shared" si="53"/>
        <v>6000</v>
      </c>
      <c r="J67" s="345">
        <f>I67/I47</f>
        <v>6.0303165117151711E-2</v>
      </c>
      <c r="K67" s="345"/>
      <c r="M67" s="293">
        <f t="shared" si="30"/>
        <v>6000</v>
      </c>
      <c r="N67" s="293">
        <f>SUM(N68:N70)</f>
        <v>0</v>
      </c>
      <c r="O67" s="293">
        <f t="shared" ref="O67" si="54">SUM(O68:O70)</f>
        <v>0</v>
      </c>
      <c r="P67" s="293">
        <f t="shared" ref="P67" si="55">SUM(P68:P70)</f>
        <v>6000</v>
      </c>
      <c r="Q67" s="345">
        <f>P67/P47</f>
        <v>3.5357761617971169E-2</v>
      </c>
      <c r="R67" s="345"/>
      <c r="T67" s="293">
        <f t="shared" si="3"/>
        <v>6000</v>
      </c>
      <c r="U67" s="291">
        <f>SUMIFS(DIÁRIO!$F$144:$F$249,DIÁRIO!$D$144:$D$249,BALANCETE!B67,DIÁRIO!$C$144:$C$249,BALANCETE!$B$133)</f>
        <v>0</v>
      </c>
      <c r="V67" s="293">
        <f t="shared" ref="V67:W67" si="56">SUM(V68:V70)</f>
        <v>0</v>
      </c>
      <c r="W67" s="293">
        <f t="shared" si="56"/>
        <v>6000</v>
      </c>
      <c r="X67" s="345">
        <f>W67/W47</f>
        <v>2.6234568744681351E-2</v>
      </c>
      <c r="Y67" s="345"/>
    </row>
    <row r="68" spans="2:25" hidden="1" outlineLevel="1">
      <c r="B68" s="287" t="s">
        <v>91</v>
      </c>
      <c r="C68" s="288" t="s">
        <v>92</v>
      </c>
      <c r="F68" s="291">
        <v>0</v>
      </c>
      <c r="G68" s="291">
        <f>SUMIFS(DIÁRIO!$F$7:$F$63,DIÁRIO!$D$7:$D$63,BALANCETE!B68,DIÁRIO!$C$7:$C$63,BALANCETE!$B$133)</f>
        <v>0</v>
      </c>
      <c r="H68" s="291">
        <f>SUMIFS(DIÁRIO!$F$7:$F$63,DIÁRIO!$D$7:$D$63,BALANCETE!B68,DIÁRIO!$C$7:$C$63,BALANCETE!$B$134)</f>
        <v>0</v>
      </c>
      <c r="I68" s="291">
        <f t="shared" si="48"/>
        <v>0</v>
      </c>
      <c r="J68" s="345"/>
      <c r="K68" s="345"/>
      <c r="M68" s="291">
        <f t="shared" si="30"/>
        <v>0</v>
      </c>
      <c r="N68" s="291">
        <f>SUMIFS(DIÁRIO!$F$66:$F$141,DIÁRIO!$D$66:$D$141,BALANCETE!B68,DIÁRIO!$C$66:$C$141,BALANCETE!$B$133)</f>
        <v>0</v>
      </c>
      <c r="O68" s="291">
        <f>SUMIFS(DIÁRIO!$F$66:$F$141,DIÁRIO!$D$66:$D$141,BALANCETE!B68,DIÁRIO!$C$66:$C$141,BALANCETE!$B$134)</f>
        <v>0</v>
      </c>
      <c r="P68" s="291">
        <f t="shared" si="42"/>
        <v>0</v>
      </c>
      <c r="Q68" s="345"/>
      <c r="R68" s="345"/>
      <c r="T68" s="293">
        <f t="shared" si="3"/>
        <v>0</v>
      </c>
      <c r="U68" s="291">
        <f>SUMIFS(DIÁRIO!$F$144:$F$249,DIÁRIO!$D$144:$D$249,BALANCETE!B68,DIÁRIO!$C$144:$C$249,BALANCETE!$B$133)</f>
        <v>0</v>
      </c>
      <c r="V68" s="291">
        <f>SUMIFS(DIÁRIO!$F$144:$F$224,DIÁRIO!$D$144:$D$224,BALANCETE!B68,DIÁRIO!$C$144:$C$224,BALANCETE!$B$134)</f>
        <v>0</v>
      </c>
      <c r="W68" s="291">
        <f t="shared" si="43"/>
        <v>0</v>
      </c>
      <c r="X68" s="345"/>
      <c r="Y68" s="345"/>
    </row>
    <row r="69" spans="2:25" hidden="1" outlineLevel="1">
      <c r="B69" s="287" t="s">
        <v>93</v>
      </c>
      <c r="C69" s="288" t="s">
        <v>94</v>
      </c>
      <c r="F69" s="291">
        <v>0</v>
      </c>
      <c r="G69" s="291">
        <f>SUMIFS(DIÁRIO!$F$7:$F$63,DIÁRIO!$D$7:$D$63,BALANCETE!B69,DIÁRIO!$C$7:$C$63,BALANCETE!$B$133)</f>
        <v>0</v>
      </c>
      <c r="H69" s="291">
        <f>SUMIFS(DIÁRIO!$F$7:$F$63,DIÁRIO!$D$7:$D$63,BALANCETE!B69,DIÁRIO!$C$7:$C$63,BALANCETE!$B$134)</f>
        <v>0</v>
      </c>
      <c r="I69" s="291">
        <f t="shared" si="48"/>
        <v>0</v>
      </c>
      <c r="J69" s="345"/>
      <c r="K69" s="345"/>
      <c r="M69" s="291">
        <f t="shared" si="30"/>
        <v>0</v>
      </c>
      <c r="N69" s="291">
        <f>SUMIFS(DIÁRIO!$F$66:$F$141,DIÁRIO!$D$66:$D$141,BALANCETE!B69,DIÁRIO!$C$66:$C$141,BALANCETE!$B$133)</f>
        <v>0</v>
      </c>
      <c r="O69" s="291">
        <f>SUMIFS(DIÁRIO!$F$66:$F$141,DIÁRIO!$D$66:$D$141,BALANCETE!B69,DIÁRIO!$C$66:$C$141,BALANCETE!$B$134)</f>
        <v>0</v>
      </c>
      <c r="P69" s="291">
        <f t="shared" si="42"/>
        <v>0</v>
      </c>
      <c r="Q69" s="345"/>
      <c r="R69" s="345"/>
      <c r="T69" s="293">
        <f t="shared" si="3"/>
        <v>0</v>
      </c>
      <c r="U69" s="291">
        <f>SUMIFS(DIÁRIO!$F$144:$F$249,DIÁRIO!$D$144:$D$249,BALANCETE!B69,DIÁRIO!$C$144:$C$249,BALANCETE!$B$133)</f>
        <v>0</v>
      </c>
      <c r="V69" s="291">
        <f>SUMIFS(DIÁRIO!$F$144:$F$224,DIÁRIO!$D$144:$D$224,BALANCETE!B69,DIÁRIO!$C$144:$C$224,BALANCETE!$B$134)</f>
        <v>0</v>
      </c>
      <c r="W69" s="291">
        <f t="shared" si="43"/>
        <v>0</v>
      </c>
      <c r="X69" s="345"/>
      <c r="Y69" s="345"/>
    </row>
    <row r="70" spans="2:25" hidden="1" outlineLevel="1">
      <c r="B70" s="287" t="s">
        <v>95</v>
      </c>
      <c r="C70" s="288" t="s">
        <v>96</v>
      </c>
      <c r="F70" s="291">
        <v>0</v>
      </c>
      <c r="G70" s="291">
        <f>SUMIFS(DIÁRIO!$F$7:$F$63,DIÁRIO!$D$7:$D$63,BALANCETE!B70,DIÁRIO!$C$7:$C$63,BALANCETE!$B$133)</f>
        <v>6000</v>
      </c>
      <c r="H70" s="291">
        <f>SUMIFS(DIÁRIO!$F$7:$F$63,DIÁRIO!$D$7:$D$63,BALANCETE!B70,DIÁRIO!$C$7:$C$63,BALANCETE!$B$134)</f>
        <v>12000</v>
      </c>
      <c r="I70" s="291">
        <f t="shared" si="48"/>
        <v>6000</v>
      </c>
      <c r="J70" s="345"/>
      <c r="K70" s="345"/>
      <c r="M70" s="291">
        <f t="shared" si="30"/>
        <v>6000</v>
      </c>
      <c r="N70" s="291">
        <f>SUMIFS(DIÁRIO!$F$66:$F$141,DIÁRIO!$D$66:$D$141,BALANCETE!B70,DIÁRIO!$C$66:$C$141,BALANCETE!$B$133)</f>
        <v>0</v>
      </c>
      <c r="O70" s="291">
        <f>SUMIFS(DIÁRIO!$F$66:$F$141,DIÁRIO!$D$66:$D$141,BALANCETE!B70,DIÁRIO!$C$66:$C$141,BALANCETE!$B$134)</f>
        <v>0</v>
      </c>
      <c r="P70" s="291">
        <f t="shared" si="42"/>
        <v>6000</v>
      </c>
      <c r="Q70" s="345"/>
      <c r="R70" s="345"/>
      <c r="T70" s="291">
        <f t="shared" si="3"/>
        <v>6000</v>
      </c>
      <c r="U70" s="291">
        <f>SUMIFS(DIÁRIO!$F$144:$F$249,DIÁRIO!$D$144:$D$249,BALANCETE!B70,DIÁRIO!$C$144:$C$249,BALANCETE!$B$133)</f>
        <v>0</v>
      </c>
      <c r="V70" s="291">
        <f>SUMIFS(DIÁRIO!$F$144:$F$224,DIÁRIO!$D$144:$D$224,BALANCETE!B70,DIÁRIO!$C$144:$C$224,BALANCETE!$B$134)</f>
        <v>0</v>
      </c>
      <c r="W70" s="291">
        <f t="shared" si="43"/>
        <v>6000</v>
      </c>
      <c r="X70" s="345"/>
      <c r="Y70" s="345"/>
    </row>
    <row r="71" spans="2:25" hidden="1" outlineLevel="1">
      <c r="B71" s="284" t="s">
        <v>97</v>
      </c>
      <c r="C71" s="285" t="s">
        <v>98</v>
      </c>
      <c r="F71" s="293">
        <v>0</v>
      </c>
      <c r="G71" s="293">
        <f>SUM(G72:G74)</f>
        <v>0</v>
      </c>
      <c r="H71" s="293">
        <f t="shared" ref="H71:I71" si="57">SUM(H72:H74)</f>
        <v>0</v>
      </c>
      <c r="I71" s="293">
        <f t="shared" si="57"/>
        <v>0</v>
      </c>
      <c r="J71" s="345"/>
      <c r="K71" s="345"/>
      <c r="M71" s="291">
        <f t="shared" si="30"/>
        <v>0</v>
      </c>
      <c r="N71" s="291">
        <f>SUMIFS(DIÁRIO!$F$66:$F$141,DIÁRIO!$D$66:$D$141,BALANCETE!B71,DIÁRIO!$C$66:$C$141,BALANCETE!$B$133)</f>
        <v>0</v>
      </c>
      <c r="O71" s="291">
        <f>SUMIFS(DIÁRIO!$F$66:$F$141,DIÁRIO!$D$66:$D$141,BALANCETE!B71,DIÁRIO!$C$66:$C$141,BALANCETE!$B$134)</f>
        <v>0</v>
      </c>
      <c r="P71" s="293">
        <f t="shared" si="42"/>
        <v>0</v>
      </c>
      <c r="Q71" s="345"/>
      <c r="R71" s="345"/>
      <c r="T71" s="293">
        <f t="shared" si="3"/>
        <v>0</v>
      </c>
      <c r="U71" s="291">
        <f>SUMIFS(DIÁRIO!$F$144:$F$249,DIÁRIO!$D$144:$D$249,BALANCETE!B71,DIÁRIO!$C$144:$C$249,BALANCETE!$B$133)</f>
        <v>0</v>
      </c>
      <c r="V71" s="291">
        <f>SUMIFS(DIÁRIO!$F$144:$F$224,DIÁRIO!$D$144:$D$224,BALANCETE!B71,DIÁRIO!$C$144:$C$224,BALANCETE!$B$134)</f>
        <v>0</v>
      </c>
      <c r="W71" s="291">
        <f t="shared" si="43"/>
        <v>0</v>
      </c>
      <c r="X71" s="345"/>
      <c r="Y71" s="345"/>
    </row>
    <row r="72" spans="2:25" hidden="1" outlineLevel="1">
      <c r="B72" s="287" t="s">
        <v>99</v>
      </c>
      <c r="C72" s="288" t="s">
        <v>100</v>
      </c>
      <c r="F72" s="291">
        <v>0</v>
      </c>
      <c r="G72" s="291">
        <f>SUMIFS(DIÁRIO!$F$7:$F$63,DIÁRIO!$D$7:$D$63,BALANCETE!B72,DIÁRIO!$C$7:$C$63,BALANCETE!$B$133)</f>
        <v>0</v>
      </c>
      <c r="H72" s="291">
        <f>SUMIFS(DIÁRIO!$F$7:$F$63,DIÁRIO!$D$7:$D$63,BALANCETE!B72,DIÁRIO!$C$7:$C$63,BALANCETE!$B$134)</f>
        <v>0</v>
      </c>
      <c r="I72" s="291">
        <f t="shared" si="48"/>
        <v>0</v>
      </c>
      <c r="J72" s="345"/>
      <c r="K72" s="345"/>
      <c r="M72" s="291">
        <f t="shared" si="30"/>
        <v>0</v>
      </c>
      <c r="N72" s="291">
        <f>SUMIFS(DIÁRIO!$F$66:$F$141,DIÁRIO!$D$66:$D$141,BALANCETE!B72,DIÁRIO!$C$66:$C$141,BALANCETE!$B$133)</f>
        <v>0</v>
      </c>
      <c r="O72" s="291">
        <f>SUMIFS(DIÁRIO!$F$66:$F$141,DIÁRIO!$D$66:$D$141,BALANCETE!B72,DIÁRIO!$C$66:$C$141,BALANCETE!$B$134)</f>
        <v>0</v>
      </c>
      <c r="P72" s="291">
        <f t="shared" si="42"/>
        <v>0</v>
      </c>
      <c r="Q72" s="345"/>
      <c r="R72" s="345"/>
      <c r="T72" s="293">
        <f t="shared" ref="T72:T129" si="58">P72</f>
        <v>0</v>
      </c>
      <c r="U72" s="291">
        <f>SUMIFS(DIÁRIO!$F$144:$F$249,DIÁRIO!$D$144:$D$249,BALANCETE!B72,DIÁRIO!$C$144:$C$249,BALANCETE!$B$133)</f>
        <v>0</v>
      </c>
      <c r="V72" s="291">
        <f>SUMIFS(DIÁRIO!$F$144:$F$224,DIÁRIO!$D$144:$D$224,BALANCETE!B72,DIÁRIO!$C$144:$C$224,BALANCETE!$B$134)</f>
        <v>0</v>
      </c>
      <c r="W72" s="291">
        <f t="shared" si="43"/>
        <v>0</v>
      </c>
      <c r="X72" s="345"/>
      <c r="Y72" s="345"/>
    </row>
    <row r="73" spans="2:25" hidden="1" outlineLevel="1">
      <c r="B73" s="287" t="s">
        <v>101</v>
      </c>
      <c r="C73" s="288" t="s">
        <v>102</v>
      </c>
      <c r="F73" s="291">
        <v>0</v>
      </c>
      <c r="G73" s="291">
        <f>SUMIFS(DIÁRIO!$F$7:$F$63,DIÁRIO!$D$7:$D$63,BALANCETE!B73,DIÁRIO!$C$7:$C$63,BALANCETE!$B$133)</f>
        <v>0</v>
      </c>
      <c r="H73" s="291">
        <f>SUMIFS(DIÁRIO!$F$7:$F$63,DIÁRIO!$D$7:$D$63,BALANCETE!B73,DIÁRIO!$C$7:$C$63,BALANCETE!$B$134)</f>
        <v>0</v>
      </c>
      <c r="I73" s="291">
        <f t="shared" si="48"/>
        <v>0</v>
      </c>
      <c r="J73" s="345"/>
      <c r="K73" s="345"/>
      <c r="M73" s="291">
        <f t="shared" si="30"/>
        <v>0</v>
      </c>
      <c r="N73" s="291">
        <f>SUMIFS(DIÁRIO!$F$66:$F$141,DIÁRIO!$D$66:$D$141,BALANCETE!B73,DIÁRIO!$C$66:$C$141,BALANCETE!$B$133)</f>
        <v>0</v>
      </c>
      <c r="O73" s="291">
        <f>SUMIFS(DIÁRIO!$F$66:$F$141,DIÁRIO!$D$66:$D$141,BALANCETE!B73,DIÁRIO!$C$66:$C$141,BALANCETE!$B$134)</f>
        <v>0</v>
      </c>
      <c r="P73" s="291">
        <f t="shared" si="42"/>
        <v>0</v>
      </c>
      <c r="Q73" s="345"/>
      <c r="R73" s="345"/>
      <c r="T73" s="293">
        <f t="shared" si="58"/>
        <v>0</v>
      </c>
      <c r="U73" s="291">
        <f>SUMIFS(DIÁRIO!$F$144:$F$249,DIÁRIO!$D$144:$D$249,BALANCETE!B73,DIÁRIO!$C$144:$C$249,BALANCETE!$B$133)</f>
        <v>0</v>
      </c>
      <c r="V73" s="291">
        <f>SUMIFS(DIÁRIO!$F$144:$F$224,DIÁRIO!$D$144:$D$224,BALANCETE!B73,DIÁRIO!$C$144:$C$224,BALANCETE!$B$134)</f>
        <v>0</v>
      </c>
      <c r="W73" s="291">
        <f t="shared" si="43"/>
        <v>0</v>
      </c>
      <c r="X73" s="345"/>
      <c r="Y73" s="345"/>
    </row>
    <row r="74" spans="2:25" hidden="1" outlineLevel="1">
      <c r="B74" s="287" t="s">
        <v>103</v>
      </c>
      <c r="C74" s="288" t="s">
        <v>104</v>
      </c>
      <c r="F74" s="291">
        <v>0</v>
      </c>
      <c r="G74" s="291">
        <f>SUMIFS(DIÁRIO!$F$7:$F$63,DIÁRIO!$D$7:$D$63,BALANCETE!B74,DIÁRIO!$C$7:$C$63,BALANCETE!$B$133)</f>
        <v>0</v>
      </c>
      <c r="H74" s="291">
        <f>SUMIFS(DIÁRIO!$F$7:$F$63,DIÁRIO!$D$7:$D$63,BALANCETE!B74,DIÁRIO!$C$7:$C$63,BALANCETE!$B$134)</f>
        <v>0</v>
      </c>
      <c r="I74" s="291">
        <f t="shared" si="48"/>
        <v>0</v>
      </c>
      <c r="J74" s="345"/>
      <c r="K74" s="345"/>
      <c r="M74" s="291">
        <f t="shared" si="30"/>
        <v>0</v>
      </c>
      <c r="N74" s="291">
        <f>SUMIFS(DIÁRIO!$F$66:$F$141,DIÁRIO!$D$66:$D$141,BALANCETE!B74,DIÁRIO!$C$66:$C$141,BALANCETE!$B$133)</f>
        <v>0</v>
      </c>
      <c r="O74" s="291">
        <f>SUMIFS(DIÁRIO!$F$66:$F$141,DIÁRIO!$D$66:$D$141,BALANCETE!B74,DIÁRIO!$C$66:$C$141,BALANCETE!$B$134)</f>
        <v>0</v>
      </c>
      <c r="P74" s="291">
        <f t="shared" si="42"/>
        <v>0</v>
      </c>
      <c r="Q74" s="345"/>
      <c r="R74" s="345"/>
      <c r="T74" s="293">
        <f t="shared" si="58"/>
        <v>0</v>
      </c>
      <c r="U74" s="291">
        <f>SUMIFS(DIÁRIO!$F$144:$F$249,DIÁRIO!$D$144:$D$249,BALANCETE!B74,DIÁRIO!$C$144:$C$249,BALANCETE!$B$133)</f>
        <v>0</v>
      </c>
      <c r="V74" s="291">
        <f>SUMIFS(DIÁRIO!$F$144:$F$224,DIÁRIO!$D$144:$D$224,BALANCETE!B74,DIÁRIO!$C$144:$C$224,BALANCETE!$B$134)</f>
        <v>0</v>
      </c>
      <c r="W74" s="291">
        <f t="shared" si="43"/>
        <v>0</v>
      </c>
      <c r="X74" s="345"/>
      <c r="Y74" s="345"/>
    </row>
    <row r="75" spans="2:25" hidden="1" outlineLevel="1">
      <c r="B75" s="284" t="s">
        <v>105</v>
      </c>
      <c r="C75" s="285" t="s">
        <v>106</v>
      </c>
      <c r="F75" s="293">
        <v>0</v>
      </c>
      <c r="G75" s="293">
        <f>G76+G78</f>
        <v>0</v>
      </c>
      <c r="H75" s="293">
        <f t="shared" ref="H75:I75" si="59">H76+H78</f>
        <v>0</v>
      </c>
      <c r="I75" s="293">
        <f t="shared" si="59"/>
        <v>0</v>
      </c>
      <c r="J75" s="345">
        <f>I75/I46</f>
        <v>0</v>
      </c>
      <c r="K75" s="345"/>
      <c r="M75" s="291">
        <f t="shared" si="30"/>
        <v>0</v>
      </c>
      <c r="N75" s="291">
        <f>SUMIFS(DIÁRIO!$F$66:$F$141,DIÁRIO!$D$66:$D$141,BALANCETE!B75,DIÁRIO!$C$66:$C$141,BALANCETE!$B$133)</f>
        <v>0</v>
      </c>
      <c r="O75" s="291">
        <f>SUMIFS(DIÁRIO!$F$66:$F$141,DIÁRIO!$D$66:$D$141,BALANCETE!B75,DIÁRIO!$C$66:$C$141,BALANCETE!$B$134)</f>
        <v>0</v>
      </c>
      <c r="P75" s="291">
        <f t="shared" si="42"/>
        <v>0</v>
      </c>
      <c r="Q75" s="345">
        <f>P75/P46</f>
        <v>0</v>
      </c>
      <c r="R75" s="345"/>
      <c r="T75" s="293">
        <f t="shared" si="58"/>
        <v>0</v>
      </c>
      <c r="U75" s="291">
        <f>SUMIFS(DIÁRIO!$F$144:$F$249,DIÁRIO!$D$144:$D$249,BALANCETE!B75,DIÁRIO!$C$144:$C$249,BALANCETE!$B$133)</f>
        <v>0</v>
      </c>
      <c r="V75" s="291">
        <f>SUMIFS(DIÁRIO!$F$144:$F$224,DIÁRIO!$D$144:$D$224,BALANCETE!B75,DIÁRIO!$C$144:$C$224,BALANCETE!$B$134)</f>
        <v>0</v>
      </c>
      <c r="W75" s="291">
        <f t="shared" si="43"/>
        <v>0</v>
      </c>
      <c r="X75" s="345">
        <f>W75/W46</f>
        <v>0</v>
      </c>
      <c r="Y75" s="345"/>
    </row>
    <row r="76" spans="2:25" hidden="1" outlineLevel="1">
      <c r="B76" s="284" t="s">
        <v>107</v>
      </c>
      <c r="C76" s="285" t="s">
        <v>75</v>
      </c>
      <c r="F76" s="293">
        <v>0</v>
      </c>
      <c r="G76" s="293">
        <f>SUMIFS(DIÁRIO!$F$7:$F$63,DIÁRIO!$D$7:$D$63,BALANCETE!B76,DIÁRIO!$C$7:$C$63,BALANCETE!$B$133)</f>
        <v>0</v>
      </c>
      <c r="H76" s="293">
        <f>SUMIFS(DIÁRIO!$F$7:$F$63,DIÁRIO!$D$7:$D$63,BALANCETE!B76,DIÁRIO!$C$7:$C$63,BALANCETE!$B$134)</f>
        <v>0</v>
      </c>
      <c r="I76" s="293">
        <f>SUMIFS(DIÁRIO!$F$7:$F$63,DIÁRIO!$D$7:$D$63,BALANCETE!C76,DIÁRIO!$C$7:$C$63,BALANCETE!$B$134)</f>
        <v>0</v>
      </c>
      <c r="J76" s="345"/>
      <c r="K76" s="345"/>
      <c r="M76" s="291">
        <f t="shared" si="30"/>
        <v>0</v>
      </c>
      <c r="N76" s="291">
        <f>SUMIFS(DIÁRIO!$F$66:$F$141,DIÁRIO!$D$66:$D$141,BALANCETE!B76,DIÁRIO!$C$66:$C$141,BALANCETE!$B$133)</f>
        <v>0</v>
      </c>
      <c r="O76" s="291">
        <f>SUMIFS(DIÁRIO!$F$66:$F$141,DIÁRIO!$D$66:$D$141,BALANCETE!B76,DIÁRIO!$C$66:$C$141,BALANCETE!$B$134)</f>
        <v>0</v>
      </c>
      <c r="P76" s="291">
        <f t="shared" si="42"/>
        <v>0</v>
      </c>
      <c r="Q76" s="345"/>
      <c r="R76" s="345"/>
      <c r="T76" s="293">
        <f t="shared" si="58"/>
        <v>0</v>
      </c>
      <c r="U76" s="291">
        <f>SUMIFS(DIÁRIO!$F$144:$F$249,DIÁRIO!$D$144:$D$249,BALANCETE!B76,DIÁRIO!$C$144:$C$249,BALANCETE!$B$133)</f>
        <v>0</v>
      </c>
      <c r="V76" s="291">
        <f>SUMIFS(DIÁRIO!$F$144:$F$224,DIÁRIO!$D$144:$D$224,BALANCETE!B76,DIÁRIO!$C$144:$C$224,BALANCETE!$B$134)</f>
        <v>0</v>
      </c>
      <c r="W76" s="291">
        <f t="shared" si="43"/>
        <v>0</v>
      </c>
      <c r="X76" s="345"/>
      <c r="Y76" s="345"/>
    </row>
    <row r="77" spans="2:25" hidden="1" outlineLevel="1">
      <c r="B77" s="287" t="s">
        <v>108</v>
      </c>
      <c r="C77" s="288" t="s">
        <v>109</v>
      </c>
      <c r="F77" s="291">
        <v>0</v>
      </c>
      <c r="G77" s="291">
        <f>SUMIFS(DIÁRIO!$F$7:$F$63,DIÁRIO!$D$7:$D$63,BALANCETE!B77,DIÁRIO!$C$7:$C$63,BALANCETE!$B$133)</f>
        <v>0</v>
      </c>
      <c r="H77" s="291">
        <f>SUMIFS(DIÁRIO!$F$7:$F$63,DIÁRIO!$D$7:$D$63,BALANCETE!B77,DIÁRIO!$C$7:$C$63,BALANCETE!$B$134)</f>
        <v>0</v>
      </c>
      <c r="I77" s="291">
        <f t="shared" ref="I77:I79" si="60">F77-G77+H77</f>
        <v>0</v>
      </c>
      <c r="J77" s="345"/>
      <c r="K77" s="345"/>
      <c r="M77" s="291">
        <f t="shared" si="30"/>
        <v>0</v>
      </c>
      <c r="N77" s="291">
        <f>SUMIFS(DIÁRIO!$F$66:$F$141,DIÁRIO!$D$66:$D$141,BALANCETE!B77,DIÁRIO!$C$66:$C$141,BALANCETE!$B$133)</f>
        <v>0</v>
      </c>
      <c r="O77" s="291">
        <f>SUMIFS(DIÁRIO!$F$66:$F$141,DIÁRIO!$D$66:$D$141,BALANCETE!B77,DIÁRIO!$C$66:$C$141,BALANCETE!$B$134)</f>
        <v>0</v>
      </c>
      <c r="P77" s="291">
        <f t="shared" si="42"/>
        <v>0</v>
      </c>
      <c r="Q77" s="345"/>
      <c r="R77" s="345"/>
      <c r="T77" s="293">
        <f t="shared" si="58"/>
        <v>0</v>
      </c>
      <c r="U77" s="291">
        <f>SUMIFS(DIÁRIO!$F$144:$F$249,DIÁRIO!$D$144:$D$249,BALANCETE!B77,DIÁRIO!$C$144:$C$249,BALANCETE!$B$133)</f>
        <v>0</v>
      </c>
      <c r="V77" s="291">
        <f>SUMIFS(DIÁRIO!$F$144:$F$224,DIÁRIO!$D$144:$D$224,BALANCETE!B77,DIÁRIO!$C$144:$C$224,BALANCETE!$B$134)</f>
        <v>0</v>
      </c>
      <c r="W77" s="291">
        <f t="shared" si="43"/>
        <v>0</v>
      </c>
      <c r="X77" s="345"/>
      <c r="Y77" s="345"/>
    </row>
    <row r="78" spans="2:25" hidden="1" outlineLevel="1">
      <c r="B78" s="284" t="s">
        <v>110</v>
      </c>
      <c r="C78" s="285" t="s">
        <v>111</v>
      </c>
      <c r="F78" s="293">
        <v>0</v>
      </c>
      <c r="G78" s="293">
        <f>SUMIFS(DIÁRIO!$F$7:$F$63,DIÁRIO!$D$7:$D$63,BALANCETE!B78,DIÁRIO!$C$7:$C$63,BALANCETE!$B$133)</f>
        <v>0</v>
      </c>
      <c r="H78" s="293">
        <f>SUMIFS(DIÁRIO!$F$7:$F$63,DIÁRIO!$D$7:$D$63,BALANCETE!B78,DIÁRIO!$C$7:$C$63,BALANCETE!$B$134)</f>
        <v>0</v>
      </c>
      <c r="I78" s="291">
        <f t="shared" si="60"/>
        <v>0</v>
      </c>
      <c r="J78" s="345"/>
      <c r="K78" s="345"/>
      <c r="M78" s="291">
        <f t="shared" si="30"/>
        <v>0</v>
      </c>
      <c r="N78" s="291">
        <f>SUMIFS(DIÁRIO!$F$66:$F$141,DIÁRIO!$D$66:$D$141,BALANCETE!B78,DIÁRIO!$C$66:$C$141,BALANCETE!$B$133)</f>
        <v>0</v>
      </c>
      <c r="O78" s="291">
        <f>SUMIFS(DIÁRIO!$F$66:$F$141,DIÁRIO!$D$66:$D$141,BALANCETE!B78,DIÁRIO!$C$66:$C$141,BALANCETE!$B$134)</f>
        <v>0</v>
      </c>
      <c r="P78" s="291">
        <f t="shared" si="42"/>
        <v>0</v>
      </c>
      <c r="Q78" s="345"/>
      <c r="R78" s="345"/>
      <c r="T78" s="293">
        <f t="shared" si="58"/>
        <v>0</v>
      </c>
      <c r="U78" s="291">
        <f>SUMIFS(DIÁRIO!$F$144:$F$249,DIÁRIO!$D$144:$D$249,BALANCETE!B78,DIÁRIO!$C$144:$C$249,BALANCETE!$B$133)</f>
        <v>0</v>
      </c>
      <c r="V78" s="291">
        <f>SUMIFS(DIÁRIO!$F$144:$F$224,DIÁRIO!$D$144:$D$224,BALANCETE!B78,DIÁRIO!$C$144:$C$224,BALANCETE!$B$134)</f>
        <v>0</v>
      </c>
      <c r="W78" s="291">
        <f t="shared" si="43"/>
        <v>0</v>
      </c>
      <c r="X78" s="345"/>
      <c r="Y78" s="345"/>
    </row>
    <row r="79" spans="2:25" hidden="1" outlineLevel="1">
      <c r="B79" s="287" t="s">
        <v>112</v>
      </c>
      <c r="C79" s="288" t="s">
        <v>113</v>
      </c>
      <c r="F79" s="291">
        <v>0</v>
      </c>
      <c r="G79" s="291">
        <f>SUMIFS(DIÁRIO!$F$7:$F$63,DIÁRIO!$D$7:$D$63,BALANCETE!B79,DIÁRIO!$C$7:$C$63,BALANCETE!$B$133)</f>
        <v>0</v>
      </c>
      <c r="H79" s="291">
        <f>SUMIFS(DIÁRIO!$F$7:$F$63,DIÁRIO!$D$7:$D$63,BALANCETE!B79,DIÁRIO!$C$7:$C$63,BALANCETE!$B$134)</f>
        <v>0</v>
      </c>
      <c r="I79" s="291">
        <f t="shared" si="60"/>
        <v>0</v>
      </c>
      <c r="J79" s="345"/>
      <c r="K79" s="345"/>
      <c r="M79" s="291">
        <f t="shared" si="30"/>
        <v>0</v>
      </c>
      <c r="N79" s="291">
        <f>SUMIFS(DIÁRIO!$F$66:$F$141,DIÁRIO!$D$66:$D$141,BALANCETE!B79,DIÁRIO!$C$66:$C$141,BALANCETE!$B$133)</f>
        <v>0</v>
      </c>
      <c r="O79" s="291">
        <f>SUMIFS(DIÁRIO!$F$66:$F$141,DIÁRIO!$D$66:$D$141,BALANCETE!B79,DIÁRIO!$C$66:$C$141,BALANCETE!$B$134)</f>
        <v>0</v>
      </c>
      <c r="P79" s="291">
        <f t="shared" si="42"/>
        <v>0</v>
      </c>
      <c r="Q79" s="345"/>
      <c r="R79" s="345"/>
      <c r="T79" s="293">
        <f t="shared" si="58"/>
        <v>0</v>
      </c>
      <c r="U79" s="291">
        <f>SUMIFS(DIÁRIO!$F$144:$F$249,DIÁRIO!$D$144:$D$249,BALANCETE!B79,DIÁRIO!$C$144:$C$249,BALANCETE!$B$133)</f>
        <v>0</v>
      </c>
      <c r="V79" s="291">
        <f>SUMIFS(DIÁRIO!$F$144:$F$224,DIÁRIO!$D$144:$D$224,BALANCETE!B79,DIÁRIO!$C$144:$C$224,BALANCETE!$B$134)</f>
        <v>0</v>
      </c>
      <c r="W79" s="291">
        <f t="shared" si="43"/>
        <v>0</v>
      </c>
      <c r="X79" s="345"/>
      <c r="Y79" s="345"/>
    </row>
    <row r="80" spans="2:25" hidden="1" outlineLevel="1">
      <c r="B80" s="284" t="s">
        <v>114</v>
      </c>
      <c r="C80" s="285" t="s">
        <v>115</v>
      </c>
      <c r="F80" s="293">
        <v>0</v>
      </c>
      <c r="G80" s="293">
        <f>G81+G84+G87</f>
        <v>100000</v>
      </c>
      <c r="H80" s="293">
        <f t="shared" ref="H80:I80" si="61">H81+H84+H87</f>
        <v>200000</v>
      </c>
      <c r="I80" s="293">
        <f t="shared" si="61"/>
        <v>100000</v>
      </c>
      <c r="J80" s="345"/>
      <c r="K80" s="345"/>
      <c r="M80" s="293">
        <f t="shared" si="30"/>
        <v>100000</v>
      </c>
      <c r="N80" s="293">
        <f>N81+N84+N87</f>
        <v>0</v>
      </c>
      <c r="O80" s="293">
        <f t="shared" ref="O80" si="62">O81+O84+O87</f>
        <v>0</v>
      </c>
      <c r="P80" s="293">
        <f t="shared" ref="P80" si="63">P81+P84+P87</f>
        <v>100000</v>
      </c>
      <c r="Q80" s="345"/>
      <c r="R80" s="345"/>
      <c r="T80" s="293">
        <f t="shared" si="58"/>
        <v>100000</v>
      </c>
      <c r="U80" s="293">
        <f>U81+U84+U87</f>
        <v>0</v>
      </c>
      <c r="V80" s="293">
        <f t="shared" ref="V80:W80" si="64">V81+V84+V87</f>
        <v>0</v>
      </c>
      <c r="W80" s="293">
        <f t="shared" si="64"/>
        <v>100000</v>
      </c>
      <c r="X80" s="345"/>
      <c r="Y80" s="345"/>
    </row>
    <row r="81" spans="2:26" hidden="1" outlineLevel="1">
      <c r="B81" s="284" t="s">
        <v>116</v>
      </c>
      <c r="C81" s="285" t="s">
        <v>117</v>
      </c>
      <c r="F81" s="293">
        <v>0</v>
      </c>
      <c r="G81" s="293">
        <f>SUM(G82:G83)</f>
        <v>100000</v>
      </c>
      <c r="H81" s="293">
        <f t="shared" ref="H81:I81" si="65">SUM(H82:H83)</f>
        <v>200000</v>
      </c>
      <c r="I81" s="293">
        <f t="shared" si="65"/>
        <v>100000</v>
      </c>
      <c r="J81" s="345">
        <f>I81/I80</f>
        <v>1</v>
      </c>
      <c r="K81" s="345"/>
      <c r="M81" s="293">
        <f t="shared" si="30"/>
        <v>100000</v>
      </c>
      <c r="N81" s="293">
        <f>SUM(N82:N83)</f>
        <v>0</v>
      </c>
      <c r="O81" s="293">
        <f t="shared" ref="O81" si="66">SUM(O82:O83)</f>
        <v>0</v>
      </c>
      <c r="P81" s="293">
        <f t="shared" ref="P81" si="67">SUM(P82:P83)</f>
        <v>100000</v>
      </c>
      <c r="Q81" s="345">
        <f>P81/P80</f>
        <v>1</v>
      </c>
      <c r="R81" s="345"/>
      <c r="T81" s="293">
        <f t="shared" si="58"/>
        <v>100000</v>
      </c>
      <c r="U81" s="293">
        <f>SUM(U82:U83)</f>
        <v>0</v>
      </c>
      <c r="V81" s="293">
        <f t="shared" ref="V81:W81" si="68">SUM(V82:V83)</f>
        <v>0</v>
      </c>
      <c r="W81" s="293">
        <f t="shared" si="68"/>
        <v>100000</v>
      </c>
      <c r="X81" s="345">
        <f>W81/W80</f>
        <v>1</v>
      </c>
      <c r="Y81" s="345"/>
    </row>
    <row r="82" spans="2:26" hidden="1" outlineLevel="1">
      <c r="B82" s="287" t="s">
        <v>118</v>
      </c>
      <c r="C82" s="288" t="s">
        <v>119</v>
      </c>
      <c r="F82" s="291">
        <v>0</v>
      </c>
      <c r="G82" s="291">
        <f>SUMIFS(DIÁRIO!$F$7:$F$63,DIÁRIO!$D$7:$D$63,BALANCETE!B82,DIÁRIO!$C$7:$C$63,BALANCETE!$B$133)</f>
        <v>0</v>
      </c>
      <c r="H82" s="291">
        <f>SUMIFS(DIÁRIO!$F$7:$F$63,DIÁRIO!$D$7:$D$63,BALANCETE!B82,DIÁRIO!$C$7:$C$63,BALANCETE!$B$134)</f>
        <v>100000</v>
      </c>
      <c r="I82" s="291">
        <f t="shared" ref="I82:I89" si="69">F82-G82+H82</f>
        <v>100000</v>
      </c>
      <c r="J82" s="345"/>
      <c r="K82" s="345"/>
      <c r="M82" s="291">
        <f t="shared" si="30"/>
        <v>100000</v>
      </c>
      <c r="N82" s="291">
        <f>SUMIFS(DIÁRIO!$F$66:$F$141,DIÁRIO!$D$66:$D$141,BALANCETE!B82,DIÁRIO!$C$66:$C$141,BALANCETE!$B$133)</f>
        <v>0</v>
      </c>
      <c r="O82" s="291">
        <f>SUMIFS(DIÁRIO!$F$66:$F$141,DIÁRIO!$D$66:$D$141,BALANCETE!B82,DIÁRIO!$C$66:$C$141,BALANCETE!$B$134)</f>
        <v>0</v>
      </c>
      <c r="P82" s="291">
        <f t="shared" si="42"/>
        <v>100000</v>
      </c>
      <c r="Q82" s="345"/>
      <c r="R82" s="345"/>
      <c r="T82" s="293">
        <f t="shared" si="58"/>
        <v>100000</v>
      </c>
      <c r="U82" s="291">
        <f>SUMIFS(DIÁRIO!$F$144:$F$224,DIÁRIO!$D$144:$D$224,BALANCETE!B82,DIÁRIO!$C$144:$C$224,BALANCETE!$B$133)</f>
        <v>0</v>
      </c>
      <c r="V82" s="291">
        <f>SUMIFS(DIÁRIO!$F$144:$F$224,DIÁRIO!$D$144:$D$224,BALANCETE!B82,DIÁRIO!$C$144:$C$224,BALANCETE!$B$134)</f>
        <v>0</v>
      </c>
      <c r="W82" s="291">
        <f t="shared" si="43"/>
        <v>100000</v>
      </c>
      <c r="X82" s="345"/>
      <c r="Y82" s="345"/>
    </row>
    <row r="83" spans="2:26" hidden="1" outlineLevel="1">
      <c r="B83" s="287" t="s">
        <v>120</v>
      </c>
      <c r="C83" s="288" t="s">
        <v>121</v>
      </c>
      <c r="F83" s="291">
        <v>0</v>
      </c>
      <c r="G83" s="291">
        <f>SUMIFS(DIÁRIO!$F$7:$F$63,DIÁRIO!$D$7:$D$63,BALANCETE!B83,DIÁRIO!$C$7:$C$63,BALANCETE!$B$133)</f>
        <v>100000</v>
      </c>
      <c r="H83" s="291">
        <f>SUMIFS(DIÁRIO!$F$7:$F$63,DIÁRIO!$D$7:$D$63,BALANCETE!B83,DIÁRIO!$C$7:$C$63,BALANCETE!$B$134)</f>
        <v>100000</v>
      </c>
      <c r="I83" s="291">
        <f t="shared" si="69"/>
        <v>0</v>
      </c>
      <c r="J83" s="345"/>
      <c r="K83" s="345"/>
      <c r="M83" s="291">
        <f t="shared" si="30"/>
        <v>0</v>
      </c>
      <c r="N83" s="291">
        <f>SUMIFS(DIÁRIO!$F$66:$F$141,DIÁRIO!$D$66:$D$141,BALANCETE!B83,DIÁRIO!$C$66:$C$141,BALANCETE!$B$133)</f>
        <v>0</v>
      </c>
      <c r="O83" s="291">
        <f>SUMIFS(DIÁRIO!$F$66:$F$141,DIÁRIO!$D$66:$D$141,BALANCETE!B83,DIÁRIO!$C$66:$C$141,BALANCETE!$B$134)</f>
        <v>0</v>
      </c>
      <c r="P83" s="291">
        <f t="shared" si="42"/>
        <v>0</v>
      </c>
      <c r="Q83" s="345"/>
      <c r="R83" s="345"/>
      <c r="T83" s="293">
        <f t="shared" si="58"/>
        <v>0</v>
      </c>
      <c r="U83" s="291">
        <f>SUMIFS(DIÁRIO!$F$144:$F$249,DIÁRIO!$D$144:$D$249,BALANCETE!B83,DIÁRIO!$C$144:$C$249,BALANCETE!$B$133)</f>
        <v>0</v>
      </c>
      <c r="V83" s="291">
        <f>SUMIFS(DIÁRIO!$F$144:$F$224,DIÁRIO!$D$144:$D$224,BALANCETE!B83,DIÁRIO!$C$144:$C$224,BALANCETE!$B$134)</f>
        <v>0</v>
      </c>
      <c r="W83" s="291">
        <f t="shared" si="43"/>
        <v>0</v>
      </c>
      <c r="X83" s="345"/>
      <c r="Y83" s="345"/>
    </row>
    <row r="84" spans="2:26" hidden="1" outlineLevel="1">
      <c r="B84" s="284" t="s">
        <v>122</v>
      </c>
      <c r="C84" s="285" t="s">
        <v>123</v>
      </c>
      <c r="F84" s="293">
        <v>0</v>
      </c>
      <c r="G84" s="293">
        <f>SUM(G85:G86)</f>
        <v>0</v>
      </c>
      <c r="H84" s="293">
        <f>SUMIFS(DIÁRIO!$F$7:$F$63,DIÁRIO!$D$7:$D$63,BALANCETE!B84,DIÁRIO!$C$7:$C$63,BALANCETE!$B$134)</f>
        <v>0</v>
      </c>
      <c r="I84" s="293">
        <f>SUMIFS(DIÁRIO!$F$7:$F$63,DIÁRIO!$D$7:$D$63,BALANCETE!C84,DIÁRIO!$C$7:$C$63,BALANCETE!$B$134)</f>
        <v>0</v>
      </c>
      <c r="J84" s="345"/>
      <c r="K84" s="345"/>
      <c r="M84" s="291">
        <f t="shared" si="30"/>
        <v>0</v>
      </c>
      <c r="N84" s="291">
        <f>SUMIFS(DIÁRIO!$F$66:$F$141,DIÁRIO!$D$66:$D$141,BALANCETE!B84,DIÁRIO!$C$66:$C$141,BALANCETE!$B$133)</f>
        <v>0</v>
      </c>
      <c r="O84" s="291">
        <f>SUMIFS(DIÁRIO!$F$66:$F$141,DIÁRIO!$D$66:$D$141,BALANCETE!B84,DIÁRIO!$C$66:$C$141,BALANCETE!$B$134)</f>
        <v>0</v>
      </c>
      <c r="P84" s="291">
        <f t="shared" si="42"/>
        <v>0</v>
      </c>
      <c r="Q84" s="345"/>
      <c r="R84" s="345"/>
      <c r="T84" s="293">
        <f t="shared" si="58"/>
        <v>0</v>
      </c>
      <c r="U84" s="291">
        <f>SUMIFS(DIÁRIO!$F$144:$F$249,DIÁRIO!$D$144:$D$249,BALANCETE!B84,DIÁRIO!$C$144:$C$249,BALANCETE!$B$133)</f>
        <v>0</v>
      </c>
      <c r="V84" s="291">
        <f>SUMIFS(DIÁRIO!$F$144:$F$224,DIÁRIO!$D$144:$D$224,BALANCETE!B84,DIÁRIO!$C$144:$C$224,BALANCETE!$B$134)</f>
        <v>0</v>
      </c>
      <c r="W84" s="291">
        <f t="shared" si="43"/>
        <v>0</v>
      </c>
      <c r="X84" s="345"/>
      <c r="Y84" s="345"/>
    </row>
    <row r="85" spans="2:26" hidden="1" outlineLevel="1">
      <c r="B85" s="287" t="s">
        <v>124</v>
      </c>
      <c r="C85" s="288" t="s">
        <v>125</v>
      </c>
      <c r="F85" s="291">
        <v>0</v>
      </c>
      <c r="G85" s="291">
        <f>SUMIFS(DIÁRIO!$F$7:$F$63,DIÁRIO!$D$7:$D$63,BALANCETE!B85,DIÁRIO!$C$7:$C$63,BALANCETE!$B$133)</f>
        <v>0</v>
      </c>
      <c r="H85" s="291">
        <f>SUMIFS(DIÁRIO!$F$7:$F$63,DIÁRIO!$D$7:$D$63,BALANCETE!B85,DIÁRIO!$C$7:$C$63,BALANCETE!$B$134)</f>
        <v>0</v>
      </c>
      <c r="I85" s="291">
        <f t="shared" si="69"/>
        <v>0</v>
      </c>
      <c r="J85" s="345"/>
      <c r="K85" s="345"/>
      <c r="M85" s="291">
        <f t="shared" si="30"/>
        <v>0</v>
      </c>
      <c r="N85" s="291">
        <f>SUMIFS(DIÁRIO!$F$66:$F$141,DIÁRIO!$D$66:$D$141,BALANCETE!B85,DIÁRIO!$C$66:$C$141,BALANCETE!$B$133)</f>
        <v>0</v>
      </c>
      <c r="O85" s="291">
        <f>SUMIFS(DIÁRIO!$F$66:$F$141,DIÁRIO!$D$66:$D$141,BALANCETE!B85,DIÁRIO!$C$66:$C$141,BALANCETE!$B$134)</f>
        <v>0</v>
      </c>
      <c r="P85" s="291">
        <f t="shared" si="42"/>
        <v>0</v>
      </c>
      <c r="Q85" s="345"/>
      <c r="R85" s="345"/>
      <c r="T85" s="293">
        <f t="shared" si="58"/>
        <v>0</v>
      </c>
      <c r="U85" s="291">
        <f>SUMIFS(DIÁRIO!$F$144:$F$249,DIÁRIO!$D$144:$D$249,BALANCETE!B85,DIÁRIO!$C$144:$C$249,BALANCETE!$B$133)</f>
        <v>0</v>
      </c>
      <c r="V85" s="291">
        <f>SUMIFS(DIÁRIO!$F$144:$F$224,DIÁRIO!$D$144:$D$224,BALANCETE!B85,DIÁRIO!$C$144:$C$224,BALANCETE!$B$134)</f>
        <v>0</v>
      </c>
      <c r="W85" s="291">
        <f t="shared" si="43"/>
        <v>0</v>
      </c>
      <c r="X85" s="345"/>
      <c r="Y85" s="345"/>
    </row>
    <row r="86" spans="2:26" hidden="1" outlineLevel="1">
      <c r="B86" s="287" t="s">
        <v>126</v>
      </c>
      <c r="C86" s="288" t="s">
        <v>127</v>
      </c>
      <c r="F86" s="291">
        <v>0</v>
      </c>
      <c r="G86" s="291">
        <f>SUMIFS(DIÁRIO!$F$7:$F$63,DIÁRIO!$D$7:$D$63,BALANCETE!B86,DIÁRIO!$C$7:$C$63,BALANCETE!$B$133)</f>
        <v>0</v>
      </c>
      <c r="H86" s="291">
        <f>SUMIFS(DIÁRIO!$F$7:$F$63,DIÁRIO!$D$7:$D$63,BALANCETE!B86,DIÁRIO!$C$7:$C$63,BALANCETE!$B$134)</f>
        <v>0</v>
      </c>
      <c r="I86" s="291">
        <f t="shared" si="69"/>
        <v>0</v>
      </c>
      <c r="J86" s="345"/>
      <c r="K86" s="345"/>
      <c r="M86" s="291">
        <f t="shared" si="30"/>
        <v>0</v>
      </c>
      <c r="N86" s="291">
        <f>SUMIFS(DIÁRIO!$F$66:$F$141,DIÁRIO!$D$66:$D$141,BALANCETE!B86,DIÁRIO!$C$66:$C$141,BALANCETE!$B$133)</f>
        <v>0</v>
      </c>
      <c r="O86" s="291">
        <f>SUMIFS(DIÁRIO!$F$66:$F$141,DIÁRIO!$D$66:$D$141,BALANCETE!B86,DIÁRIO!$C$66:$C$141,BALANCETE!$B$134)</f>
        <v>0</v>
      </c>
      <c r="P86" s="291">
        <f t="shared" si="42"/>
        <v>0</v>
      </c>
      <c r="Q86" s="345"/>
      <c r="R86" s="345"/>
      <c r="T86" s="293">
        <f t="shared" si="58"/>
        <v>0</v>
      </c>
      <c r="U86" s="291">
        <f>SUMIFS(DIÁRIO!$F$144:$F$249,DIÁRIO!$D$144:$D$249,BALANCETE!B86,DIÁRIO!$C$144:$C$249,BALANCETE!$B$133)</f>
        <v>0</v>
      </c>
      <c r="V86" s="291">
        <f>SUMIFS(DIÁRIO!$F$144:$F$224,DIÁRIO!$D$144:$D$224,BALANCETE!B86,DIÁRIO!$C$144:$C$224,BALANCETE!$B$134)</f>
        <v>0</v>
      </c>
      <c r="W86" s="291">
        <f t="shared" si="43"/>
        <v>0</v>
      </c>
      <c r="X86" s="345"/>
      <c r="Y86" s="345"/>
    </row>
    <row r="87" spans="2:26" hidden="1" outlineLevel="1">
      <c r="B87" s="284" t="s">
        <v>128</v>
      </c>
      <c r="C87" s="285" t="s">
        <v>129</v>
      </c>
      <c r="F87" s="293">
        <v>0</v>
      </c>
      <c r="G87" s="293">
        <f>SUM(G88:G89)</f>
        <v>0</v>
      </c>
      <c r="H87" s="293">
        <f>SUMIFS(DIÁRIO!$F$7:$F$63,DIÁRIO!$D$7:$D$63,BALANCETE!B87,DIÁRIO!$C$7:$C$63,BALANCETE!$B$134)</f>
        <v>0</v>
      </c>
      <c r="I87" s="293">
        <f>SUMIFS(DIÁRIO!$F$7:$F$63,DIÁRIO!$D$7:$D$63,BALANCETE!C87,DIÁRIO!$C$7:$C$63,BALANCETE!$B$134)</f>
        <v>0</v>
      </c>
      <c r="J87" s="345"/>
      <c r="K87" s="345"/>
      <c r="M87" s="291">
        <f t="shared" si="30"/>
        <v>0</v>
      </c>
      <c r="N87" s="291">
        <f>SUMIFS(DIÁRIO!$F$66:$F$141,DIÁRIO!$D$66:$D$141,BALANCETE!B87,DIÁRIO!$C$66:$C$141,BALANCETE!$B$133)</f>
        <v>0</v>
      </c>
      <c r="O87" s="291">
        <f>SUMIFS(DIÁRIO!$F$66:$F$141,DIÁRIO!$D$66:$D$141,BALANCETE!B87,DIÁRIO!$C$66:$C$141,BALANCETE!$B$134)</f>
        <v>0</v>
      </c>
      <c r="P87" s="291">
        <f t="shared" si="42"/>
        <v>0</v>
      </c>
      <c r="Q87" s="345"/>
      <c r="R87" s="345"/>
      <c r="T87" s="293">
        <f t="shared" si="58"/>
        <v>0</v>
      </c>
      <c r="U87" s="291">
        <f>SUMIFS(DIÁRIO!$F$144:$F$249,DIÁRIO!$D$144:$D$249,BALANCETE!B87,DIÁRIO!$C$144:$C$249,BALANCETE!$B$133)</f>
        <v>0</v>
      </c>
      <c r="V87" s="291">
        <f>SUMIFS(DIÁRIO!$F$144:$F$224,DIÁRIO!$D$144:$D$224,BALANCETE!B87,DIÁRIO!$C$144:$C$224,BALANCETE!$B$134)</f>
        <v>0</v>
      </c>
      <c r="W87" s="291">
        <f t="shared" si="43"/>
        <v>0</v>
      </c>
      <c r="X87" s="345"/>
      <c r="Y87" s="345"/>
    </row>
    <row r="88" spans="2:26" hidden="1" outlineLevel="1">
      <c r="B88" s="287" t="s">
        <v>130</v>
      </c>
      <c r="C88" s="288" t="s">
        <v>131</v>
      </c>
      <c r="F88" s="291">
        <v>0</v>
      </c>
      <c r="G88" s="291">
        <f>SUMIFS(DIÁRIO!$F$7:$F$63,DIÁRIO!$D$7:$D$63,BALANCETE!B88,DIÁRIO!$C$7:$C$63,BALANCETE!$B$133)</f>
        <v>0</v>
      </c>
      <c r="H88" s="291">
        <f>SUMIFS(DIÁRIO!$F$7:$F$63,DIÁRIO!$D$7:$D$63,BALANCETE!B88,DIÁRIO!$C$7:$C$63,BALANCETE!$B$134)</f>
        <v>0</v>
      </c>
      <c r="I88" s="291">
        <f t="shared" si="69"/>
        <v>0</v>
      </c>
      <c r="J88" s="345"/>
      <c r="K88" s="345"/>
      <c r="M88" s="291">
        <f t="shared" si="30"/>
        <v>0</v>
      </c>
      <c r="N88" s="291">
        <f>SUMIFS(DIÁRIO!$F$66:$F$141,DIÁRIO!$D$66:$D$141,BALANCETE!B88,DIÁRIO!$C$66:$C$141,BALANCETE!$B$133)</f>
        <v>0</v>
      </c>
      <c r="O88" s="291">
        <f>SUMIFS(DIÁRIO!$F$66:$F$141,DIÁRIO!$D$66:$D$141,BALANCETE!B88,DIÁRIO!$C$66:$C$141,BALANCETE!$B$134)</f>
        <v>0</v>
      </c>
      <c r="P88" s="291">
        <f t="shared" si="42"/>
        <v>0</v>
      </c>
      <c r="Q88" s="345"/>
      <c r="R88" s="345"/>
      <c r="T88" s="293">
        <f t="shared" si="58"/>
        <v>0</v>
      </c>
      <c r="U88" s="291">
        <f>SUMIFS(DIÁRIO!$F$144:$F$249,DIÁRIO!$D$144:$D$249,BALANCETE!B88,DIÁRIO!$C$144:$C$249,BALANCETE!$B$133)</f>
        <v>0</v>
      </c>
      <c r="V88" s="291">
        <f>SUMIFS(DIÁRIO!$F$144:$F$224,DIÁRIO!$D$144:$D$224,BALANCETE!B88,DIÁRIO!$C$144:$C$224,BALANCETE!$B$134)</f>
        <v>0</v>
      </c>
      <c r="W88" s="291">
        <f t="shared" si="43"/>
        <v>0</v>
      </c>
      <c r="X88" s="345"/>
      <c r="Y88" s="345"/>
    </row>
    <row r="89" spans="2:26" hidden="1" outlineLevel="1">
      <c r="B89" s="287" t="s">
        <v>132</v>
      </c>
      <c r="C89" s="288" t="s">
        <v>133</v>
      </c>
      <c r="F89" s="291">
        <v>0</v>
      </c>
      <c r="G89" s="291">
        <f>SUMIFS(DIÁRIO!$F$7:$F$63,DIÁRIO!$D$7:$D$63,BALANCETE!B89,DIÁRIO!$C$7:$C$63,BALANCETE!$B$133)</f>
        <v>0</v>
      </c>
      <c r="H89" s="291">
        <f>SUMIFS(DIÁRIO!$F$7:$F$63,DIÁRIO!$D$7:$D$63,BALANCETE!B89,DIÁRIO!$C$7:$C$63,BALANCETE!$B$134)</f>
        <v>0</v>
      </c>
      <c r="I89" s="291">
        <f t="shared" si="69"/>
        <v>0</v>
      </c>
      <c r="J89" s="345"/>
      <c r="K89" s="345"/>
      <c r="M89" s="291">
        <f t="shared" si="30"/>
        <v>0</v>
      </c>
      <c r="N89" s="291">
        <f>SUMIFS(DIÁRIO!$F$66:$F$141,DIÁRIO!$D$66:$D$141,BALANCETE!B89,DIÁRIO!$C$66:$C$141,BALANCETE!$B$133)</f>
        <v>0</v>
      </c>
      <c r="O89" s="291">
        <f>SUMIFS(DIÁRIO!$F$66:$F$141,DIÁRIO!$D$66:$D$141,BALANCETE!B89,DIÁRIO!$C$66:$C$141,BALANCETE!$B$134)</f>
        <v>0</v>
      </c>
      <c r="P89" s="291">
        <f t="shared" si="42"/>
        <v>0</v>
      </c>
      <c r="Q89" s="345"/>
      <c r="R89" s="345"/>
      <c r="T89" s="293">
        <f t="shared" si="58"/>
        <v>0</v>
      </c>
      <c r="U89" s="291">
        <f>SUMIFS(DIÁRIO!$F$144:$F$249,DIÁRIO!$D$144:$D$249,BALANCETE!B89,DIÁRIO!$C$144:$C$249,BALANCETE!$B$133)</f>
        <v>0</v>
      </c>
      <c r="V89" s="291">
        <f>SUMIFS(DIÁRIO!$F$144:$F$224,DIÁRIO!$D$144:$D$224,BALANCETE!B89,DIÁRIO!$C$144:$C$224,BALANCETE!$B$134)</f>
        <v>0</v>
      </c>
      <c r="W89" s="291">
        <f t="shared" si="43"/>
        <v>0</v>
      </c>
      <c r="X89" s="345"/>
      <c r="Y89" s="345"/>
    </row>
    <row r="90" spans="2:26" collapsed="1">
      <c r="B90" s="284">
        <v>3</v>
      </c>
      <c r="C90" s="285" t="s">
        <v>134</v>
      </c>
      <c r="F90" s="293">
        <v>0</v>
      </c>
      <c r="G90" s="293">
        <f>G91+G108</f>
        <v>17404.14</v>
      </c>
      <c r="H90" s="293">
        <f>H91</f>
        <v>63000</v>
      </c>
      <c r="I90" s="293">
        <f>F90-G90+H90</f>
        <v>45595.86</v>
      </c>
      <c r="J90" s="345"/>
      <c r="K90" s="345"/>
      <c r="M90" s="293">
        <f t="shared" si="30"/>
        <v>45595.86</v>
      </c>
      <c r="N90" s="293">
        <f>N91+N108</f>
        <v>22499.91</v>
      </c>
      <c r="O90" s="293">
        <f>O91</f>
        <v>95000</v>
      </c>
      <c r="P90" s="293">
        <f>M90-N90+O90</f>
        <v>118095.95</v>
      </c>
      <c r="Q90" s="345"/>
      <c r="R90" s="345"/>
      <c r="T90" s="293">
        <f t="shared" si="58"/>
        <v>118095.95</v>
      </c>
      <c r="U90" s="293">
        <f>U91+U108</f>
        <v>84785.55</v>
      </c>
      <c r="V90" s="293">
        <f>V91</f>
        <v>56500</v>
      </c>
      <c r="W90" s="293">
        <f>T90-U90+V90</f>
        <v>89810.4</v>
      </c>
      <c r="X90" s="345"/>
      <c r="Y90" s="345"/>
    </row>
    <row r="91" spans="2:26" outlineLevel="1">
      <c r="B91" s="284" t="s">
        <v>135</v>
      </c>
      <c r="C91" s="285" t="s">
        <v>136</v>
      </c>
      <c r="F91" s="293">
        <v>0</v>
      </c>
      <c r="G91" s="293">
        <f>SUM(G93:G100)</f>
        <v>13249.5</v>
      </c>
      <c r="H91" s="293">
        <f>H92</f>
        <v>63000</v>
      </c>
      <c r="I91" s="293">
        <f>F91-G91+H91</f>
        <v>49750.5</v>
      </c>
      <c r="J91" s="345"/>
      <c r="K91" s="345"/>
      <c r="M91" s="293">
        <f t="shared" ref="M91:M95" si="70">I91</f>
        <v>49750.5</v>
      </c>
      <c r="N91" s="293">
        <f>SUM(N93:N100)</f>
        <v>14517.5</v>
      </c>
      <c r="O91" s="293">
        <f>O92</f>
        <v>95000</v>
      </c>
      <c r="P91" s="293">
        <f>M91-N91+O91</f>
        <v>130233</v>
      </c>
      <c r="Q91" s="345"/>
      <c r="R91" s="345">
        <f>(P91/I91)-1</f>
        <v>1.6177224349504025</v>
      </c>
      <c r="T91" s="293">
        <f t="shared" si="58"/>
        <v>130233</v>
      </c>
      <c r="U91" s="293">
        <f>SUM(U93:U100)</f>
        <v>11474</v>
      </c>
      <c r="V91" s="293">
        <f>V92+V101</f>
        <v>56500</v>
      </c>
      <c r="W91" s="293">
        <f>T91-U91+V91</f>
        <v>175259</v>
      </c>
      <c r="X91" s="345"/>
      <c r="Y91" s="345">
        <f>(W91/P91)</f>
        <v>1.345734184116161</v>
      </c>
      <c r="Z91" s="311"/>
    </row>
    <row r="92" spans="2:26" outlineLevel="1">
      <c r="B92" s="284" t="s">
        <v>137</v>
      </c>
      <c r="C92" s="285" t="s">
        <v>138</v>
      </c>
      <c r="F92" s="293">
        <v>0</v>
      </c>
      <c r="G92" s="293">
        <f>SUM(G93:G95)</f>
        <v>0</v>
      </c>
      <c r="H92" s="293">
        <f t="shared" ref="H92:I92" si="71">SUM(H93:H95)</f>
        <v>63000</v>
      </c>
      <c r="I92" s="293">
        <f t="shared" si="71"/>
        <v>63000</v>
      </c>
      <c r="J92" s="345"/>
      <c r="K92" s="345"/>
      <c r="M92" s="293">
        <f t="shared" si="70"/>
        <v>63000</v>
      </c>
      <c r="N92" s="293">
        <f>SUM(N93:N95)</f>
        <v>0</v>
      </c>
      <c r="O92" s="293">
        <f t="shared" ref="O92" si="72">SUM(O93:O95)</f>
        <v>95000</v>
      </c>
      <c r="P92" s="293">
        <f t="shared" ref="P92" si="73">SUM(P93:P95)</f>
        <v>158000</v>
      </c>
      <c r="Q92" s="345"/>
      <c r="R92" s="345"/>
      <c r="T92" s="293">
        <f t="shared" si="58"/>
        <v>158000</v>
      </c>
      <c r="U92" s="293">
        <f>SUM(U93:U95)</f>
        <v>0</v>
      </c>
      <c r="V92" s="293">
        <f t="shared" ref="V92:W92" si="74">SUM(V93:V95)</f>
        <v>56000</v>
      </c>
      <c r="W92" s="293">
        <f t="shared" si="74"/>
        <v>214000</v>
      </c>
      <c r="X92" s="345"/>
      <c r="Y92" s="345"/>
      <c r="Z92" s="311"/>
    </row>
    <row r="93" spans="2:26" outlineLevel="1">
      <c r="B93" s="287" t="s">
        <v>139</v>
      </c>
      <c r="C93" s="288" t="s">
        <v>140</v>
      </c>
      <c r="F93" s="291">
        <v>0</v>
      </c>
      <c r="G93" s="291">
        <f>SUMIFS(DIÁRIO!$F$7:$F$63,DIÁRIO!$D$7:$D$63,BALANCETE!B93,DIÁRIO!$C$7:$C$63,BALANCETE!$B$133)</f>
        <v>0</v>
      </c>
      <c r="H93" s="291">
        <f>SUMIFS(DIÁRIO!$F$7:$F$63,DIÁRIO!$D$7:$D$63,BALANCETE!B93,DIÁRIO!$C$7:$C$63,BALANCETE!$B$134)</f>
        <v>0</v>
      </c>
      <c r="I93" s="291">
        <f>SUMIFS(DIÁRIO!$F$7:$F$63,DIÁRIO!$D$7:$D$63,BALANCETE!C93,DIÁRIO!$C$7:$C$63,BALANCETE!$B$134)</f>
        <v>0</v>
      </c>
      <c r="J93" s="345"/>
      <c r="K93" s="345"/>
      <c r="M93" s="291">
        <f t="shared" si="70"/>
        <v>0</v>
      </c>
      <c r="N93" s="291">
        <f>SUMIFS(DIÁRIO!$F$66:$F$141,DIÁRIO!$D$66:$D$141,BALANCETE!B93,DIÁRIO!$C$66:$C$141,BALANCETE!$B$133)</f>
        <v>0</v>
      </c>
      <c r="O93" s="291">
        <f>SUMIFS(DIÁRIO!$F$66:$F$141,DIÁRIO!$D$66:$D$141,BALANCETE!B93,DIÁRIO!$C$66:$C$141,BALANCETE!$B$134)</f>
        <v>0</v>
      </c>
      <c r="P93" s="291">
        <f t="shared" si="42"/>
        <v>0</v>
      </c>
      <c r="Q93" s="345"/>
      <c r="R93" s="345"/>
      <c r="T93" s="293">
        <f t="shared" si="58"/>
        <v>0</v>
      </c>
      <c r="U93" s="291">
        <f>SUMIFS(DIÁRIO!$F$144:$F$249,DIÁRIO!$D$144:$D$249,BALANCETE!B93,DIÁRIO!$C$144:$C$249,BALANCETE!$B$133)</f>
        <v>0</v>
      </c>
      <c r="V93" s="291">
        <f>SUMIFS(DIÁRIO!$F$144:$F$249,DIÁRIO!$D$144:$D$249,BALANCETE!B93,DIÁRIO!$C$144:$C$249,BALANCETE!$B$134)</f>
        <v>0</v>
      </c>
      <c r="W93" s="291">
        <f t="shared" ref="W93:W95" si="75">T93-U93+V93</f>
        <v>0</v>
      </c>
      <c r="X93" s="345"/>
      <c r="Y93" s="345"/>
      <c r="Z93" s="311"/>
    </row>
    <row r="94" spans="2:26" outlineLevel="1">
      <c r="B94" s="287" t="s">
        <v>141</v>
      </c>
      <c r="C94" s="288" t="s">
        <v>142</v>
      </c>
      <c r="F94" s="291">
        <v>0</v>
      </c>
      <c r="G94" s="291">
        <f>SUMIFS(DIÁRIO!$F$7:$F$63,DIÁRIO!$D$7:$D$63,BALANCETE!B94,DIÁRIO!$C$7:$C$63,BALANCETE!$B$133)</f>
        <v>0</v>
      </c>
      <c r="H94" s="291">
        <f>SUMIFS(DIÁRIO!$F$7:$F$63,DIÁRIO!$D$7:$D$63,BALANCETE!B94,DIÁRIO!$C$7:$C$63,BALANCETE!$B$134)</f>
        <v>60000</v>
      </c>
      <c r="I94" s="291">
        <f>F94-G94+H94</f>
        <v>60000</v>
      </c>
      <c r="J94" s="345">
        <f>I94/I92</f>
        <v>0.95238095238095233</v>
      </c>
      <c r="K94" s="345"/>
      <c r="M94" s="291">
        <f t="shared" si="70"/>
        <v>60000</v>
      </c>
      <c r="N94" s="291">
        <f>SUMIFS(DIÁRIO!$F$66:$F$141,DIÁRIO!$D$66:$D$141,BALANCETE!B94,DIÁRIO!$C$66:$C$141,BALANCETE!$B$133)</f>
        <v>0</v>
      </c>
      <c r="O94" s="291">
        <f>SUMIFS(DIÁRIO!$F$66:$F$141,DIÁRIO!$D$66:$D$141,BALANCETE!B94,DIÁRIO!$C$66:$C$141,BALANCETE!$B$134)</f>
        <v>90000</v>
      </c>
      <c r="P94" s="291">
        <f t="shared" si="42"/>
        <v>150000</v>
      </c>
      <c r="Q94" s="345">
        <f>P94/P92</f>
        <v>0.94936708860759489</v>
      </c>
      <c r="R94" s="345"/>
      <c r="T94" s="293">
        <f t="shared" si="58"/>
        <v>150000</v>
      </c>
      <c r="U94" s="291">
        <f>SUMIFS(DIÁRIO!$F$144:$F$249,DIÁRIO!$D$144:$D$249,BALANCETE!B94,DIÁRIO!$C$144:$C$249,BALANCETE!$B$133)</f>
        <v>0</v>
      </c>
      <c r="V94" s="291">
        <f>SUMIFS(DIÁRIO!$F$144:$F$249,DIÁRIO!$D$144:$D$249,BALANCETE!B94,DIÁRIO!$C$144:$C$249,BALANCETE!$B$134)</f>
        <v>51000</v>
      </c>
      <c r="W94" s="291">
        <f t="shared" si="75"/>
        <v>201000</v>
      </c>
      <c r="X94" s="345">
        <f>W94/W92</f>
        <v>0.93925233644859818</v>
      </c>
      <c r="Y94" s="345"/>
    </row>
    <row r="95" spans="2:26" outlineLevel="1">
      <c r="B95" s="287" t="s">
        <v>143</v>
      </c>
      <c r="C95" s="288" t="s">
        <v>568</v>
      </c>
      <c r="F95" s="291">
        <v>0</v>
      </c>
      <c r="G95" s="291">
        <f>SUMIFS(DIÁRIO!$F$7:$F$63,DIÁRIO!$D$7:$D$63,BALANCETE!B95,DIÁRIO!$C$7:$C$63,BALANCETE!$B$133)</f>
        <v>0</v>
      </c>
      <c r="H95" s="291">
        <f>SUMIFS(DIÁRIO!$F$7:$F$63,DIÁRIO!$D$7:$D$63,BALANCETE!B95,DIÁRIO!$C$7:$C$63,BALANCETE!$B$134)</f>
        <v>3000</v>
      </c>
      <c r="I95" s="291">
        <f>F95-G95+H95</f>
        <v>3000</v>
      </c>
      <c r="J95" s="345">
        <f>I95/I92</f>
        <v>4.7619047619047616E-2</v>
      </c>
      <c r="K95" s="345"/>
      <c r="M95" s="291">
        <f t="shared" si="70"/>
        <v>3000</v>
      </c>
      <c r="N95" s="291">
        <f>SUMIFS(DIÁRIO!$F$66:$F$141,DIÁRIO!$D$66:$D$141,BALANCETE!B95,DIÁRIO!$C$66:$C$141,BALANCETE!$B$133)</f>
        <v>0</v>
      </c>
      <c r="O95" s="291">
        <f>SUMIFS(DIÁRIO!$F$66:$F$141,DIÁRIO!$D$66:$D$141,BALANCETE!B95,DIÁRIO!$C$66:$C$141,BALANCETE!$B$134)</f>
        <v>5000</v>
      </c>
      <c r="P95" s="291">
        <f t="shared" si="42"/>
        <v>8000</v>
      </c>
      <c r="Q95" s="345">
        <f>P95/P92</f>
        <v>5.0632911392405063E-2</v>
      </c>
      <c r="R95" s="345"/>
      <c r="T95" s="293">
        <f t="shared" si="58"/>
        <v>8000</v>
      </c>
      <c r="U95" s="291">
        <f>SUMIFS(DIÁRIO!$F$144:$F$249,DIÁRIO!$D$144:$D$249,BALANCETE!B95,DIÁRIO!$C$144:$C$249,BALANCETE!$B$133)</f>
        <v>0</v>
      </c>
      <c r="V95" s="291">
        <f>SUMIFS(DIÁRIO!$F$144:$F$249,DIÁRIO!$D$144:$D$249,BALANCETE!B95,DIÁRIO!$C$144:$C$249,BALANCETE!$B$134)</f>
        <v>5000</v>
      </c>
      <c r="W95" s="291">
        <f t="shared" si="75"/>
        <v>13000</v>
      </c>
      <c r="X95" s="345">
        <f>W95/W92</f>
        <v>6.0747663551401869E-2</v>
      </c>
      <c r="Y95" s="345"/>
    </row>
    <row r="96" spans="2:26" outlineLevel="1">
      <c r="B96" s="287" t="s">
        <v>144</v>
      </c>
      <c r="C96" s="288" t="s">
        <v>572</v>
      </c>
      <c r="F96" s="291">
        <v>0</v>
      </c>
      <c r="G96" s="291">
        <f>SUMIFS(DIÁRIO!$F$7:$F$63,DIÁRIO!$D$7:$D$63,BALANCETE!B96,DIÁRIO!$C$7:$C$63,BALANCETE!$B$133)</f>
        <v>150</v>
      </c>
      <c r="H96" s="291">
        <f>SUMIFS(DIÁRIO!$F$7:$F$63,DIÁRIO!$D$7:$D$63,BALANCETE!B96,DIÁRIO!$C$7:$C$63,BALANCETE!$B$134)</f>
        <v>0</v>
      </c>
      <c r="I96" s="291">
        <f>F96+G96-H96</f>
        <v>150</v>
      </c>
      <c r="J96" s="345"/>
      <c r="K96" s="345"/>
      <c r="M96" s="291">
        <f t="shared" ref="M96:M129" si="76">I96</f>
        <v>150</v>
      </c>
      <c r="N96" s="291">
        <f>SUMIFS(DIÁRIO!$F$66:$F$141,DIÁRIO!$D$66:$D$141,BALANCETE!B96,DIÁRIO!$C$66:$C$141,BALANCETE!$B$133)</f>
        <v>250</v>
      </c>
      <c r="O96" s="291">
        <f>SUMIFS(DIÁRIO!$F$66:$F$141,DIÁRIO!$D$66:$D$141,BALANCETE!B96,DIÁRIO!$C$66:$C$141,BALANCETE!$B$134)</f>
        <v>0</v>
      </c>
      <c r="P96" s="291">
        <f>M96+N96-O96</f>
        <v>400</v>
      </c>
      <c r="Q96" s="345"/>
      <c r="R96" s="345"/>
      <c r="T96" s="293">
        <f t="shared" si="58"/>
        <v>400</v>
      </c>
      <c r="U96" s="291">
        <f>SUMIFS(DIÁRIO!$F$144:$F$249,DIÁRIO!$D$144:$D$249,BALANCETE!B96,DIÁRIO!$C$144:$C$249,BALANCETE!$B$133)</f>
        <v>250</v>
      </c>
      <c r="V96" s="291">
        <f>SUMIFS(DIÁRIO!$F$144:$F$249,DIÁRIO!$D$144:$D$249,BALANCETE!B96,DIÁRIO!$C$144:$C$249,BALANCETE!$B$134)</f>
        <v>0</v>
      </c>
      <c r="W96" s="291">
        <f>T96+U96-V96</f>
        <v>650</v>
      </c>
      <c r="X96" s="345"/>
      <c r="Y96" s="345"/>
    </row>
    <row r="97" spans="2:25" outlineLevel="1">
      <c r="B97" s="287" t="s">
        <v>389</v>
      </c>
      <c r="C97" s="288" t="s">
        <v>573</v>
      </c>
      <c r="F97" s="291">
        <v>0</v>
      </c>
      <c r="G97" s="291">
        <f>SUMIFS(DIÁRIO!$F$7:$F$63,DIÁRIO!$D$7:$D$63,BALANCETE!B97,DIÁRIO!$C$7:$C$63,BALANCETE!$B$133)</f>
        <v>10800</v>
      </c>
      <c r="H97" s="291">
        <f>SUMIFS(DIÁRIO!$F$7:$F$63,DIÁRIO!$D$7:$D$63,BALANCETE!B97,DIÁRIO!$C$7:$C$63,BALANCETE!$B$134)</f>
        <v>0</v>
      </c>
      <c r="I97" s="291">
        <f t="shared" ref="I97:I101" si="77">F97+G97-H97</f>
        <v>10800</v>
      </c>
      <c r="J97" s="345"/>
      <c r="K97" s="345"/>
      <c r="M97" s="291">
        <f t="shared" si="76"/>
        <v>10800</v>
      </c>
      <c r="N97" s="291">
        <f>SUMIFS(DIÁRIO!$F$66:$F$141,DIÁRIO!$D$66:$D$141,BALANCETE!B97,DIÁRIO!$C$66:$C$141,BALANCETE!$B$133)</f>
        <v>10800</v>
      </c>
      <c r="O97" s="291">
        <f>SUMIFS(DIÁRIO!$F$66:$F$141,DIÁRIO!$D$66:$D$141,BALANCETE!B97,DIÁRIO!$C$66:$C$141,BALANCETE!$B$134)</f>
        <v>0</v>
      </c>
      <c r="P97" s="291">
        <f t="shared" ref="P97:P100" si="78">M97+N97-O97</f>
        <v>21600</v>
      </c>
      <c r="Q97" s="345"/>
      <c r="R97" s="345"/>
      <c r="T97" s="293">
        <f t="shared" si="58"/>
        <v>21600</v>
      </c>
      <c r="U97" s="291">
        <f>SUMIFS(DIÁRIO!$F$144:$F$249,DIÁRIO!$D$144:$D$249,BALANCETE!B97,DIÁRIO!$C$144:$C$249,BALANCETE!$B$133)</f>
        <v>9180</v>
      </c>
      <c r="V97" s="291">
        <f>SUMIFS(DIÁRIO!$F$144:$F$249,DIÁRIO!$D$144:$D$249,BALANCETE!B97,DIÁRIO!$C$144:$C$249,BALANCETE!$B$134)</f>
        <v>0</v>
      </c>
      <c r="W97" s="291">
        <f t="shared" ref="W97:W99" si="79">T97+U97-V97</f>
        <v>30780</v>
      </c>
      <c r="X97" s="345"/>
      <c r="Y97" s="345"/>
    </row>
    <row r="98" spans="2:25" outlineLevel="1">
      <c r="B98" s="287" t="s">
        <v>569</v>
      </c>
      <c r="C98" s="288" t="s">
        <v>574</v>
      </c>
      <c r="F98" s="291">
        <v>0</v>
      </c>
      <c r="G98" s="291">
        <f>SUMIFS(DIÁRIO!$F$7:$F$63,DIÁRIO!$D$7:$D$63,BALANCETE!B98,DIÁRIO!$C$7:$C$63,BALANCETE!$B$133)</f>
        <v>409.50000000000006</v>
      </c>
      <c r="H98" s="291">
        <f>SUMIFS(DIÁRIO!$F$7:$F$63,DIÁRIO!$D$7:$D$63,BALANCETE!B98,DIÁRIO!$C$7:$C$63,BALANCETE!$B$134)</f>
        <v>0</v>
      </c>
      <c r="I98" s="291">
        <f t="shared" si="77"/>
        <v>409.50000000000006</v>
      </c>
      <c r="J98" s="345"/>
      <c r="K98" s="345"/>
      <c r="M98" s="291">
        <f t="shared" si="76"/>
        <v>409.50000000000006</v>
      </c>
      <c r="N98" s="291">
        <f>SUMIFS(DIÁRIO!$F$66:$F$141,DIÁRIO!$D$66:$D$141,BALANCETE!B98,DIÁRIO!$C$66:$C$141,BALANCETE!$B$133)</f>
        <v>617.5</v>
      </c>
      <c r="O98" s="291">
        <f>SUMIFS(DIÁRIO!$F$66:$F$141,DIÁRIO!$D$66:$D$141,BALANCETE!B98,DIÁRIO!$C$66:$C$141,BALANCETE!$B$134)</f>
        <v>0</v>
      </c>
      <c r="P98" s="291">
        <f t="shared" si="78"/>
        <v>1027</v>
      </c>
      <c r="Q98" s="345"/>
      <c r="R98" s="345"/>
      <c r="T98" s="293">
        <f t="shared" si="58"/>
        <v>1027</v>
      </c>
      <c r="U98" s="291">
        <f>SUMIFS(DIÁRIO!$F$144:$F$249,DIÁRIO!$D$144:$D$249,BALANCETE!B98,DIÁRIO!$C$144:$C$249,BALANCETE!$B$133)</f>
        <v>364.00000000000006</v>
      </c>
      <c r="V98" s="291">
        <f>SUMIFS(DIÁRIO!$F$144:$F$249,DIÁRIO!$D$144:$D$249,BALANCETE!B98,DIÁRIO!$C$144:$C$249,BALANCETE!$B$134)</f>
        <v>0</v>
      </c>
      <c r="W98" s="291">
        <f t="shared" si="79"/>
        <v>1391</v>
      </c>
      <c r="X98" s="345"/>
      <c r="Y98" s="345"/>
    </row>
    <row r="99" spans="2:25" outlineLevel="1">
      <c r="B99" s="287" t="s">
        <v>570</v>
      </c>
      <c r="C99" s="288" t="s">
        <v>575</v>
      </c>
      <c r="F99" s="291">
        <v>0</v>
      </c>
      <c r="G99" s="291">
        <f>SUMIFS(DIÁRIO!$F$7:$F$63,DIÁRIO!$D$7:$D$63,BALANCETE!B99,DIÁRIO!$C$7:$C$63,BALANCETE!$B$133)</f>
        <v>1890</v>
      </c>
      <c r="H99" s="291">
        <f>SUMIFS(DIÁRIO!$F$7:$F$63,DIÁRIO!$D$7:$D$63,BALANCETE!B99,DIÁRIO!$C$7:$C$63,BALANCETE!$B$134)</f>
        <v>0</v>
      </c>
      <c r="I99" s="291">
        <f t="shared" si="77"/>
        <v>1890</v>
      </c>
      <c r="J99" s="345"/>
      <c r="K99" s="345"/>
      <c r="M99" s="291">
        <f t="shared" si="76"/>
        <v>1890</v>
      </c>
      <c r="N99" s="291">
        <f>SUMIFS(DIÁRIO!$F$66:$F$141,DIÁRIO!$D$66:$D$141,BALANCETE!B99,DIÁRIO!$C$66:$C$141,BALANCETE!$B$133)</f>
        <v>2850</v>
      </c>
      <c r="O99" s="291">
        <f>SUMIFS(DIÁRIO!$F$66:$F$141,DIÁRIO!$D$66:$D$141,BALANCETE!B99,DIÁRIO!$C$66:$C$141,BALANCETE!$B$134)</f>
        <v>0</v>
      </c>
      <c r="P99" s="291">
        <f t="shared" si="78"/>
        <v>4740</v>
      </c>
      <c r="Q99" s="345"/>
      <c r="R99" s="345"/>
      <c r="T99" s="293">
        <f t="shared" si="58"/>
        <v>4740</v>
      </c>
      <c r="U99" s="291">
        <f>SUMIFS(DIÁRIO!$F$144:$F$249,DIÁRIO!$D$144:$D$249,BALANCETE!B99,DIÁRIO!$C$144:$C$249,BALANCETE!$B$133)</f>
        <v>1680</v>
      </c>
      <c r="V99" s="291">
        <f>SUMIFS(DIÁRIO!$F$144:$F$249,DIÁRIO!$D$144:$D$249,BALANCETE!B99,DIÁRIO!$C$144:$C$249,BALANCETE!$B$134)</f>
        <v>0</v>
      </c>
      <c r="W99" s="291">
        <f t="shared" si="79"/>
        <v>6420</v>
      </c>
      <c r="X99" s="345"/>
      <c r="Y99" s="345"/>
    </row>
    <row r="100" spans="2:25" outlineLevel="1">
      <c r="B100" s="288" t="s">
        <v>571</v>
      </c>
      <c r="C100" s="288" t="s">
        <v>390</v>
      </c>
      <c r="F100" s="291">
        <v>0</v>
      </c>
      <c r="G100" s="291">
        <f>SUMIFS(DIÁRIO!$F$7:$F$63,DIÁRIO!$D$7:$D$63,BALANCETE!B100,DIÁRIO!$C$7:$C$63,BALANCETE!$B$133)</f>
        <v>0</v>
      </c>
      <c r="H100" s="291">
        <f>SUMIFS(DIÁRIO!$F$7:$F$63,DIÁRIO!$D$7:$D$63,BALANCETE!B100,DIÁRIO!$C$7:$C$63,BALANCETE!$B$134)</f>
        <v>0</v>
      </c>
      <c r="I100" s="291">
        <f t="shared" si="77"/>
        <v>0</v>
      </c>
      <c r="J100" s="345"/>
      <c r="K100" s="345"/>
      <c r="M100" s="291">
        <f t="shared" si="76"/>
        <v>0</v>
      </c>
      <c r="N100" s="291">
        <f>SUMIFS(DIÁRIO!$F$66:$F$141,DIÁRIO!$D$66:$D$141,BALANCETE!B100,DIÁRIO!$C$66:$C$141,BALANCETE!$B$133)</f>
        <v>0</v>
      </c>
      <c r="O100" s="291">
        <f>SUMIFS(DIÁRIO!$F$66:$F$141,DIÁRIO!$D$66:$D$141,BALANCETE!B100,DIÁRIO!$C$66:$C$141,BALANCETE!$B$134)</f>
        <v>0</v>
      </c>
      <c r="P100" s="291">
        <f t="shared" si="78"/>
        <v>0</v>
      </c>
      <c r="Q100" s="345"/>
      <c r="R100" s="345"/>
      <c r="T100" s="293">
        <f t="shared" si="58"/>
        <v>0</v>
      </c>
      <c r="U100" s="291">
        <f>SUMIFS(DIÁRIO!$F$144:$F$249,DIÁRIO!$D$144:$D$249,BALANCETE!B100,DIÁRIO!$C$144:$C$249,BALANCETE!$B$133)</f>
        <v>0</v>
      </c>
      <c r="V100" s="291">
        <f>SUMIFS(DIÁRIO!$F$144:$F$249,DIÁRIO!$D$144:$D$249,BALANCETE!B100,DIÁRIO!$C$144:$C$249,BALANCETE!$B$134)</f>
        <v>0</v>
      </c>
      <c r="W100" s="291">
        <f t="shared" ref="W100:W107" si="80">T100-U100+V100</f>
        <v>0</v>
      </c>
      <c r="X100" s="345"/>
      <c r="Y100" s="345"/>
    </row>
    <row r="101" spans="2:25" outlineLevel="1">
      <c r="B101" s="284" t="s">
        <v>146</v>
      </c>
      <c r="C101" s="285" t="s">
        <v>147</v>
      </c>
      <c r="F101" s="293">
        <v>0</v>
      </c>
      <c r="G101" s="293">
        <f>SUMIFS(DIÁRIO!$F$7:$F$63,DIÁRIO!$D$7:$D$63,BALANCETE!B101,DIÁRIO!$C$7:$C$63,BALANCETE!$B$133)</f>
        <v>0</v>
      </c>
      <c r="H101" s="293">
        <f>SUMIFS(DIÁRIO!$F$7:$F$63,DIÁRIO!$D$7:$D$63,BALANCETE!B101,DIÁRIO!$C$7:$C$63,BALANCETE!$B$134)</f>
        <v>0</v>
      </c>
      <c r="I101" s="293">
        <f t="shared" si="77"/>
        <v>0</v>
      </c>
      <c r="J101" s="345"/>
      <c r="K101" s="345"/>
      <c r="M101" s="291">
        <f t="shared" si="76"/>
        <v>0</v>
      </c>
      <c r="N101" s="291">
        <f>SUMIFS(DIÁRIO!$F$66:$F$141,DIÁRIO!$D$66:$D$141,BALANCETE!B101,DIÁRIO!$C$66:$C$141,BALANCETE!$B$133)</f>
        <v>0</v>
      </c>
      <c r="O101" s="291">
        <f>SUMIFS(DIÁRIO!$F$66:$F$141,DIÁRIO!$D$66:$D$141,BALANCETE!B101,DIÁRIO!$C$66:$C$141,BALANCETE!$B$134)</f>
        <v>0</v>
      </c>
      <c r="P101" s="291">
        <f t="shared" si="42"/>
        <v>0</v>
      </c>
      <c r="Q101" s="345"/>
      <c r="R101" s="345"/>
      <c r="T101" s="293">
        <f t="shared" si="58"/>
        <v>0</v>
      </c>
      <c r="U101" s="293">
        <f>SUM(U102:U103)</f>
        <v>0</v>
      </c>
      <c r="V101" s="293">
        <f>SUM(V102:V103)</f>
        <v>500</v>
      </c>
      <c r="W101" s="293">
        <f t="shared" si="80"/>
        <v>500</v>
      </c>
      <c r="X101" s="345"/>
      <c r="Y101" s="345"/>
    </row>
    <row r="102" spans="2:25" outlineLevel="1">
      <c r="B102" s="287" t="s">
        <v>148</v>
      </c>
      <c r="C102" s="288" t="s">
        <v>149</v>
      </c>
      <c r="F102" s="291">
        <v>0</v>
      </c>
      <c r="G102" s="291">
        <f>SUMIFS(DIÁRIO!$F$7:$F$63,DIÁRIO!$D$7:$D$63,BALANCETE!B102,DIÁRIO!$C$7:$C$63,BALANCETE!$B$133)</f>
        <v>0</v>
      </c>
      <c r="H102" s="291">
        <f>SUMIFS(DIÁRIO!$F$7:$F$63,DIÁRIO!$D$7:$D$63,BALANCETE!B102,DIÁRIO!$C$7:$C$63,BALANCETE!$B$134)</f>
        <v>0</v>
      </c>
      <c r="I102" s="291">
        <f>F102-G102+H102</f>
        <v>0</v>
      </c>
      <c r="J102" s="345"/>
      <c r="K102" s="345"/>
      <c r="M102" s="291">
        <f t="shared" si="76"/>
        <v>0</v>
      </c>
      <c r="N102" s="291">
        <f>SUMIFS(DIÁRIO!$F$66:$F$141,DIÁRIO!$D$66:$D$141,BALANCETE!B102,DIÁRIO!$C$66:$C$141,BALANCETE!$B$133)</f>
        <v>0</v>
      </c>
      <c r="O102" s="291">
        <f>SUMIFS(DIÁRIO!$F$66:$F$141,DIÁRIO!$D$66:$D$141,BALANCETE!B102,DIÁRIO!$C$66:$C$141,BALANCETE!$B$134)</f>
        <v>0</v>
      </c>
      <c r="P102" s="291">
        <f t="shared" si="42"/>
        <v>0</v>
      </c>
      <c r="Q102" s="345"/>
      <c r="R102" s="345"/>
      <c r="T102" s="293">
        <f t="shared" si="58"/>
        <v>0</v>
      </c>
      <c r="U102" s="291">
        <f>SUMIFS(DIÁRIO!$F$144:$F$249,DIÁRIO!$D$144:$D$249,BALANCETE!B102,DIÁRIO!$C$144:$C$249,BALANCETE!$B$133)</f>
        <v>0</v>
      </c>
      <c r="V102" s="291">
        <f>SUMIFS(DIÁRIO!$F$144:$F$249,DIÁRIO!$D$144:$D$249,BALANCETE!B102,DIÁRIO!$C$144:$C$249,BALANCETE!$B$134)</f>
        <v>0</v>
      </c>
      <c r="W102" s="291">
        <f t="shared" si="80"/>
        <v>0</v>
      </c>
      <c r="X102" s="345"/>
      <c r="Y102" s="345"/>
    </row>
    <row r="103" spans="2:25" outlineLevel="1">
      <c r="B103" s="287" t="s">
        <v>150</v>
      </c>
      <c r="C103" s="288" t="s">
        <v>151</v>
      </c>
      <c r="F103" s="291">
        <v>0</v>
      </c>
      <c r="G103" s="291">
        <f>SUMIFS(DIÁRIO!$F$7:$F$63,DIÁRIO!$D$7:$D$63,BALANCETE!B103,DIÁRIO!$C$7:$C$63,BALANCETE!$B$133)</f>
        <v>0</v>
      </c>
      <c r="H103" s="291">
        <f>SUMIFS(DIÁRIO!$F$7:$F$63,DIÁRIO!$D$7:$D$63,BALANCETE!B103,DIÁRIO!$C$7:$C$63,BALANCETE!$B$134)</f>
        <v>0</v>
      </c>
      <c r="I103" s="291">
        <f>F103-G103+H103</f>
        <v>0</v>
      </c>
      <c r="J103" s="345"/>
      <c r="K103" s="345"/>
      <c r="M103" s="291">
        <f t="shared" si="76"/>
        <v>0</v>
      </c>
      <c r="N103" s="291">
        <f>SUMIFS(DIÁRIO!$F$66:$F$141,DIÁRIO!$D$66:$D$141,BALANCETE!B103,DIÁRIO!$C$66:$C$141,BALANCETE!$B$133)</f>
        <v>0</v>
      </c>
      <c r="O103" s="291">
        <f>SUMIFS(DIÁRIO!$F$66:$F$141,DIÁRIO!$D$66:$D$141,BALANCETE!B103,DIÁRIO!$C$66:$C$141,BALANCETE!$B$134)</f>
        <v>0</v>
      </c>
      <c r="P103" s="291">
        <f t="shared" si="42"/>
        <v>0</v>
      </c>
      <c r="Q103" s="345"/>
      <c r="R103" s="345"/>
      <c r="T103" s="293">
        <f t="shared" si="58"/>
        <v>0</v>
      </c>
      <c r="U103" s="291">
        <f>SUMIFS(DIÁRIO!$F$144:$F$249,DIÁRIO!$D$144:$D$249,BALANCETE!B103,DIÁRIO!$C$144:$C$249,BALANCETE!$B$133)</f>
        <v>0</v>
      </c>
      <c r="V103" s="291">
        <f>SUMIFS(DIÁRIO!$F$144:$F$249,DIÁRIO!$D$144:$D$249,BALANCETE!B103,DIÁRIO!$C$144:$C$249,BALANCETE!$B$134)</f>
        <v>500</v>
      </c>
      <c r="W103" s="291">
        <f t="shared" si="80"/>
        <v>500</v>
      </c>
      <c r="X103" s="345"/>
      <c r="Y103" s="345"/>
    </row>
    <row r="104" spans="2:25" outlineLevel="1">
      <c r="B104" s="284" t="s">
        <v>152</v>
      </c>
      <c r="C104" s="285" t="s">
        <v>153</v>
      </c>
      <c r="F104" s="293">
        <v>0</v>
      </c>
      <c r="G104" s="293">
        <f>SUMIFS(DIÁRIO!$F$7:$F$63,DIÁRIO!$D$7:$D$63,BALANCETE!B104,DIÁRIO!$C$7:$C$63,BALANCETE!$B$133)</f>
        <v>0</v>
      </c>
      <c r="H104" s="293">
        <f>SUMIFS(DIÁRIO!$F$7:$F$63,DIÁRIO!$D$7:$D$63,BALANCETE!B104,DIÁRIO!$C$7:$C$63,BALANCETE!$B$134)</f>
        <v>0</v>
      </c>
      <c r="I104" s="293">
        <f t="shared" ref="I104:I107" si="81">F104-G104+H104</f>
        <v>0</v>
      </c>
      <c r="J104" s="345"/>
      <c r="K104" s="345"/>
      <c r="M104" s="291">
        <f t="shared" si="76"/>
        <v>0</v>
      </c>
      <c r="N104" s="291">
        <f>SUMIFS(DIÁRIO!$F$66:$F$141,DIÁRIO!$D$66:$D$141,BALANCETE!B104,DIÁRIO!$C$66:$C$141,BALANCETE!$B$133)</f>
        <v>0</v>
      </c>
      <c r="O104" s="291">
        <f>SUMIFS(DIÁRIO!$F$66:$F$141,DIÁRIO!$D$66:$D$141,BALANCETE!B104,DIÁRIO!$C$66:$C$141,BALANCETE!$B$134)</f>
        <v>0</v>
      </c>
      <c r="P104" s="291">
        <f t="shared" si="42"/>
        <v>0</v>
      </c>
      <c r="Q104" s="345"/>
      <c r="R104" s="345"/>
      <c r="T104" s="293">
        <f t="shared" si="58"/>
        <v>0</v>
      </c>
      <c r="U104" s="291">
        <f>SUMIFS(DIÁRIO!$F$144:$F$249,DIÁRIO!$D$144:$D$249,BALANCETE!B104,DIÁRIO!$C$144:$C$249,BALANCETE!$B$133)</f>
        <v>0</v>
      </c>
      <c r="V104" s="291">
        <f>SUMIFS(DIÁRIO!$F$144:$F$249,DIÁRIO!$D$144:$D$249,BALANCETE!B104,DIÁRIO!$C$144:$C$249,BALANCETE!$B$134)</f>
        <v>0</v>
      </c>
      <c r="W104" s="291">
        <f t="shared" si="80"/>
        <v>0</v>
      </c>
      <c r="X104" s="345"/>
      <c r="Y104" s="345"/>
    </row>
    <row r="105" spans="2:25" outlineLevel="1">
      <c r="B105" s="287" t="s">
        <v>154</v>
      </c>
      <c r="C105" s="288" t="s">
        <v>155</v>
      </c>
      <c r="F105" s="291">
        <v>0</v>
      </c>
      <c r="G105" s="291">
        <f>SUMIFS(DIÁRIO!$F$7:$F$63,DIÁRIO!$D$7:$D$63,BALANCETE!B105,DIÁRIO!$C$7:$C$63,BALANCETE!$B$133)</f>
        <v>0</v>
      </c>
      <c r="H105" s="291">
        <f>SUMIFS(DIÁRIO!$F$7:$F$63,DIÁRIO!$D$7:$D$63,BALANCETE!B105,DIÁRIO!$C$7:$C$63,BALANCETE!$B$134)</f>
        <v>0</v>
      </c>
      <c r="I105" s="291">
        <f t="shared" si="81"/>
        <v>0</v>
      </c>
      <c r="J105" s="345"/>
      <c r="K105" s="345"/>
      <c r="M105" s="291">
        <f t="shared" si="76"/>
        <v>0</v>
      </c>
      <c r="N105" s="291">
        <f>SUMIFS(DIÁRIO!$F$66:$F$141,DIÁRIO!$D$66:$D$141,BALANCETE!B105,DIÁRIO!$C$66:$C$141,BALANCETE!$B$133)</f>
        <v>0</v>
      </c>
      <c r="O105" s="291">
        <f>SUMIFS(DIÁRIO!$F$66:$F$141,DIÁRIO!$D$66:$D$141,BALANCETE!B105,DIÁRIO!$C$66:$C$141,BALANCETE!$B$134)</f>
        <v>0</v>
      </c>
      <c r="P105" s="291">
        <f t="shared" si="42"/>
        <v>0</v>
      </c>
      <c r="Q105" s="345"/>
      <c r="R105" s="345"/>
      <c r="T105" s="293">
        <f t="shared" si="58"/>
        <v>0</v>
      </c>
      <c r="U105" s="291">
        <f>SUMIFS(DIÁRIO!$F$144:$F$249,DIÁRIO!$D$144:$D$249,BALANCETE!B105,DIÁRIO!$C$144:$C$249,BALANCETE!$B$133)</f>
        <v>0</v>
      </c>
      <c r="V105" s="291">
        <f>SUMIFS(DIÁRIO!$F$144:$F$249,DIÁRIO!$D$144:$D$249,BALANCETE!B105,DIÁRIO!$C$144:$C$249,BALANCETE!$B$134)</f>
        <v>0</v>
      </c>
      <c r="W105" s="291">
        <f t="shared" si="80"/>
        <v>0</v>
      </c>
      <c r="X105" s="345"/>
      <c r="Y105" s="345"/>
    </row>
    <row r="106" spans="2:25" outlineLevel="1">
      <c r="B106" s="287" t="s">
        <v>156</v>
      </c>
      <c r="C106" s="288" t="s">
        <v>157</v>
      </c>
      <c r="F106" s="291">
        <v>0</v>
      </c>
      <c r="G106" s="291">
        <f>SUMIFS(DIÁRIO!$F$7:$F$63,DIÁRIO!$D$7:$D$63,BALANCETE!B106,DIÁRIO!$C$7:$C$63,BALANCETE!$B$133)</f>
        <v>0</v>
      </c>
      <c r="H106" s="291">
        <f>SUMIFS(DIÁRIO!$F$7:$F$63,DIÁRIO!$D$7:$D$63,BALANCETE!B106,DIÁRIO!$C$7:$C$63,BALANCETE!$B$134)</f>
        <v>0</v>
      </c>
      <c r="I106" s="291">
        <f t="shared" si="81"/>
        <v>0</v>
      </c>
      <c r="J106" s="345"/>
      <c r="K106" s="345"/>
      <c r="M106" s="291">
        <f t="shared" si="76"/>
        <v>0</v>
      </c>
      <c r="N106" s="291">
        <f>SUMIFS(DIÁRIO!$F$66:$F$141,DIÁRIO!$D$66:$D$141,BALANCETE!B106,DIÁRIO!$C$66:$C$141,BALANCETE!$B$133)</f>
        <v>0</v>
      </c>
      <c r="O106" s="291">
        <f>SUMIFS(DIÁRIO!$F$66:$F$141,DIÁRIO!$D$66:$D$141,BALANCETE!B106,DIÁRIO!$C$66:$C$141,BALANCETE!$B$134)</f>
        <v>0</v>
      </c>
      <c r="P106" s="291">
        <f t="shared" si="42"/>
        <v>0</v>
      </c>
      <c r="Q106" s="345"/>
      <c r="R106" s="345"/>
      <c r="T106" s="293">
        <f t="shared" si="58"/>
        <v>0</v>
      </c>
      <c r="U106" s="291">
        <f>SUMIFS(DIÁRIO!$F$144:$F$249,DIÁRIO!$D$144:$D$249,BALANCETE!B106,DIÁRIO!$C$144:$C$249,BALANCETE!$B$133)</f>
        <v>0</v>
      </c>
      <c r="V106" s="291">
        <f>SUMIFS(DIÁRIO!$F$144:$F$249,DIÁRIO!$D$144:$D$249,BALANCETE!B106,DIÁRIO!$C$144:$C$249,BALANCETE!$B$134)</f>
        <v>0</v>
      </c>
      <c r="W106" s="291">
        <f t="shared" si="80"/>
        <v>0</v>
      </c>
      <c r="X106" s="345"/>
      <c r="Y106" s="345"/>
    </row>
    <row r="107" spans="2:25" outlineLevel="1">
      <c r="B107" s="287" t="s">
        <v>158</v>
      </c>
      <c r="C107" s="288" t="s">
        <v>159</v>
      </c>
      <c r="F107" s="291">
        <v>0</v>
      </c>
      <c r="G107" s="291">
        <f>SUMIFS(DIÁRIO!$F$7:$F$63,DIÁRIO!$D$7:$D$63,BALANCETE!B107,DIÁRIO!$C$7:$C$63,BALANCETE!$B$133)</f>
        <v>0</v>
      </c>
      <c r="H107" s="291">
        <f>SUMIFS(DIÁRIO!$F$7:$F$63,DIÁRIO!$D$7:$D$63,BALANCETE!B107,DIÁRIO!$C$7:$C$63,BALANCETE!$B$134)</f>
        <v>0</v>
      </c>
      <c r="I107" s="291">
        <f t="shared" si="81"/>
        <v>0</v>
      </c>
      <c r="J107" s="345"/>
      <c r="K107" s="345"/>
      <c r="M107" s="291">
        <f t="shared" si="76"/>
        <v>0</v>
      </c>
      <c r="N107" s="291">
        <f>SUMIFS(DIÁRIO!$F$66:$F$141,DIÁRIO!$D$66:$D$141,BALANCETE!B107,DIÁRIO!$C$66:$C$141,BALANCETE!$B$133)</f>
        <v>0</v>
      </c>
      <c r="O107" s="291">
        <f>SUMIFS(DIÁRIO!$F$66:$F$141,DIÁRIO!$D$66:$D$141,BALANCETE!B107,DIÁRIO!$C$66:$C$141,BALANCETE!$B$134)</f>
        <v>0</v>
      </c>
      <c r="P107" s="291">
        <f t="shared" si="42"/>
        <v>0</v>
      </c>
      <c r="Q107" s="345"/>
      <c r="R107" s="345"/>
      <c r="T107" s="293">
        <f t="shared" si="58"/>
        <v>0</v>
      </c>
      <c r="U107" s="291">
        <f>SUMIFS(DIÁRIO!$F$144:$F$249,DIÁRIO!$D$144:$D$249,BALANCETE!B107,DIÁRIO!$C$144:$C$249,BALANCETE!$B$133)</f>
        <v>0</v>
      </c>
      <c r="V107" s="291">
        <f>SUMIFS(DIÁRIO!$F$144:$F$249,DIÁRIO!$D$144:$D$249,BALANCETE!B107,DIÁRIO!$C$144:$C$249,BALANCETE!$B$134)</f>
        <v>0</v>
      </c>
      <c r="W107" s="291">
        <f t="shared" si="80"/>
        <v>0</v>
      </c>
      <c r="X107" s="345"/>
      <c r="Y107" s="345"/>
    </row>
    <row r="108" spans="2:25" outlineLevel="1">
      <c r="B108" s="284" t="s">
        <v>160</v>
      </c>
      <c r="C108" s="285" t="s">
        <v>161</v>
      </c>
      <c r="F108" s="293">
        <v>0</v>
      </c>
      <c r="G108" s="293">
        <f>G109+G113+G119+G123+G126</f>
        <v>4154.6400000000003</v>
      </c>
      <c r="H108" s="293">
        <f t="shared" ref="H108:I108" si="82">H109+H113+H119+H123+H126</f>
        <v>0</v>
      </c>
      <c r="I108" s="293">
        <f t="shared" si="82"/>
        <v>4154.6400000000003</v>
      </c>
      <c r="J108" s="345"/>
      <c r="K108" s="345"/>
      <c r="M108" s="293">
        <f t="shared" si="76"/>
        <v>4154.6400000000003</v>
      </c>
      <c r="N108" s="293">
        <f>N109+N113+N119+N123+N126</f>
        <v>7982.41</v>
      </c>
      <c r="O108" s="293">
        <f t="shared" ref="O108" si="83">O109+O113+O119+O123+O126</f>
        <v>0</v>
      </c>
      <c r="P108" s="293">
        <f t="shared" ref="P108" si="84">P109+P113+P119+P123+P126</f>
        <v>12137.05</v>
      </c>
      <c r="Q108" s="345"/>
      <c r="R108" s="345"/>
      <c r="T108" s="293">
        <f t="shared" si="58"/>
        <v>12137.05</v>
      </c>
      <c r="U108" s="293">
        <f>U109+U113+U119+U123+U126</f>
        <v>73311.55</v>
      </c>
      <c r="V108" s="293">
        <f t="shared" ref="V108:W108" si="85">V109+V113+V119+V123+V126</f>
        <v>0</v>
      </c>
      <c r="W108" s="293">
        <f t="shared" si="85"/>
        <v>85448.6</v>
      </c>
      <c r="X108" s="345"/>
      <c r="Y108" s="345"/>
    </row>
    <row r="109" spans="2:25" outlineLevel="1">
      <c r="B109" s="284" t="s">
        <v>162</v>
      </c>
      <c r="C109" s="285" t="s">
        <v>163</v>
      </c>
      <c r="F109" s="293">
        <v>0</v>
      </c>
      <c r="G109" s="293">
        <f>SUM(G110:G112)</f>
        <v>0</v>
      </c>
      <c r="H109" s="293">
        <f t="shared" ref="H109:I109" si="86">SUM(H110:H112)</f>
        <v>0</v>
      </c>
      <c r="I109" s="293">
        <f t="shared" si="86"/>
        <v>0</v>
      </c>
      <c r="J109" s="345"/>
      <c r="K109" s="345"/>
      <c r="M109" s="291">
        <f t="shared" si="76"/>
        <v>0</v>
      </c>
      <c r="N109" s="291">
        <f>SUMIFS(DIÁRIO!$F$66:$F$141,DIÁRIO!$D$66:$D$141,BALANCETE!B109,DIÁRIO!$C$66:$C$141,BALANCETE!$B$133)</f>
        <v>0</v>
      </c>
      <c r="O109" s="291">
        <f>SUMIFS(DIÁRIO!$F$66:$F$141,DIÁRIO!$D$66:$D$141,BALANCETE!B109,DIÁRIO!$C$66:$C$141,BALANCETE!$B$134)</f>
        <v>0</v>
      </c>
      <c r="P109" s="291">
        <f t="shared" ref="P109:P129" si="87">M109+N109-O109</f>
        <v>0</v>
      </c>
      <c r="Q109" s="345"/>
      <c r="R109" s="345"/>
      <c r="T109" s="293">
        <f t="shared" si="58"/>
        <v>0</v>
      </c>
      <c r="U109" s="293">
        <f>SUM(U110:U112)</f>
        <v>59400</v>
      </c>
      <c r="V109" s="293">
        <f>SUM(V110:V112)</f>
        <v>0</v>
      </c>
      <c r="W109" s="293">
        <f t="shared" ref="W109:W129" si="88">T109+U109-V109</f>
        <v>59400</v>
      </c>
      <c r="X109" s="345"/>
      <c r="Y109" s="345"/>
    </row>
    <row r="110" spans="2:25" outlineLevel="1">
      <c r="B110" s="287" t="s">
        <v>164</v>
      </c>
      <c r="C110" s="288" t="s">
        <v>576</v>
      </c>
      <c r="F110" s="291">
        <v>0</v>
      </c>
      <c r="G110" s="291">
        <f>SUMIFS(DIÁRIO!$F$7:$F$63,DIÁRIO!$D$7:$D$63,BALANCETE!B110,DIÁRIO!$C$7:$C$63,BALANCETE!$B$133)</f>
        <v>0</v>
      </c>
      <c r="H110" s="291">
        <f>SUMIFS(DIÁRIO!$F$7:$F$63,DIÁRIO!$D$7:$D$63,BALANCETE!B110,DIÁRIO!$C$7:$C$63,BALANCETE!$B$134)</f>
        <v>0</v>
      </c>
      <c r="I110" s="291">
        <f t="shared" ref="I110:I129" si="89">F110+G110-H110</f>
        <v>0</v>
      </c>
      <c r="J110" s="345"/>
      <c r="K110" s="345"/>
      <c r="M110" s="291">
        <f t="shared" si="76"/>
        <v>0</v>
      </c>
      <c r="N110" s="291">
        <f>SUMIFS(DIÁRIO!$F$66:$F$141,DIÁRIO!$D$66:$D$141,BALANCETE!B110,DIÁRIO!$C$66:$C$141,BALANCETE!$B$133)</f>
        <v>0</v>
      </c>
      <c r="O110" s="291">
        <f>SUMIFS(DIÁRIO!$F$66:$F$141,DIÁRIO!$D$66:$D$141,BALANCETE!B110,DIÁRIO!$C$66:$C$141,BALANCETE!$B$134)</f>
        <v>0</v>
      </c>
      <c r="P110" s="291">
        <f t="shared" si="87"/>
        <v>0</v>
      </c>
      <c r="Q110" s="345"/>
      <c r="R110" s="345"/>
      <c r="T110" s="293">
        <f t="shared" si="58"/>
        <v>0</v>
      </c>
      <c r="U110" s="291">
        <f>SUMIFS(DIÁRIO!$F$144:$F$249,DIÁRIO!$D$144:$D$249,BALANCETE!B110,DIÁRIO!$C$144:$C$249,BALANCETE!$B$133)</f>
        <v>0</v>
      </c>
      <c r="V110" s="291">
        <f>SUMIFS(DIÁRIO!$F$144:$F$249,DIÁRIO!$D$144:$D$249,BALANCETE!B110,DIÁRIO!$C$144:$C$249,BALANCETE!$B$134)</f>
        <v>0</v>
      </c>
      <c r="W110" s="291">
        <f t="shared" si="88"/>
        <v>0</v>
      </c>
      <c r="X110" s="345"/>
      <c r="Y110" s="345"/>
    </row>
    <row r="111" spans="2:25" outlineLevel="1">
      <c r="B111" s="287" t="s">
        <v>165</v>
      </c>
      <c r="C111" s="288" t="s">
        <v>577</v>
      </c>
      <c r="F111" s="291">
        <v>0</v>
      </c>
      <c r="G111" s="291">
        <f>SUMIFS(DIÁRIO!$F$7:$F$63,DIÁRIO!$D$7:$D$63,BALANCETE!B111,DIÁRIO!$C$7:$C$63,BALANCETE!$B$133)</f>
        <v>0</v>
      </c>
      <c r="H111" s="291">
        <f>SUMIFS(DIÁRIO!$F$7:$F$63,DIÁRIO!$D$7:$D$63,BALANCETE!B111,DIÁRIO!$C$7:$C$63,BALANCETE!$B$134)</f>
        <v>0</v>
      </c>
      <c r="I111" s="291">
        <f t="shared" si="89"/>
        <v>0</v>
      </c>
      <c r="J111" s="345"/>
      <c r="K111" s="345"/>
      <c r="M111" s="291">
        <f t="shared" si="76"/>
        <v>0</v>
      </c>
      <c r="N111" s="291">
        <f>SUMIFS(DIÁRIO!$F$66:$F$141,DIÁRIO!$D$66:$D$141,BALANCETE!B111,DIÁRIO!$C$66:$C$141,BALANCETE!$B$133)</f>
        <v>0</v>
      </c>
      <c r="O111" s="291">
        <f>SUMIFS(DIÁRIO!$F$66:$F$141,DIÁRIO!$D$66:$D$141,BALANCETE!B111,DIÁRIO!$C$66:$C$141,BALANCETE!$B$134)</f>
        <v>0</v>
      </c>
      <c r="P111" s="291">
        <f t="shared" si="87"/>
        <v>0</v>
      </c>
      <c r="Q111" s="345"/>
      <c r="R111" s="345"/>
      <c r="T111" s="293">
        <f t="shared" si="58"/>
        <v>0</v>
      </c>
      <c r="U111" s="291">
        <f>SUMIFS(DIÁRIO!$F$144:$F$249,DIÁRIO!$D$144:$D$249,BALANCETE!B111,DIÁRIO!$C$144:$C$249,BALANCETE!$B$133)</f>
        <v>59400</v>
      </c>
      <c r="V111" s="291">
        <f>SUMIFS(DIÁRIO!$F$144:$F$249,DIÁRIO!$D$144:$D$249,BALANCETE!B111,DIÁRIO!$C$144:$C$249,BALANCETE!$B$134)</f>
        <v>0</v>
      </c>
      <c r="W111" s="291">
        <f t="shared" si="88"/>
        <v>59400</v>
      </c>
      <c r="X111" s="345"/>
      <c r="Y111" s="345"/>
    </row>
    <row r="112" spans="2:25" outlineLevel="1">
      <c r="B112" s="287" t="s">
        <v>166</v>
      </c>
      <c r="C112" s="288" t="s">
        <v>578</v>
      </c>
      <c r="F112" s="291">
        <v>0</v>
      </c>
      <c r="G112" s="291">
        <f>SUMIFS(DIÁRIO!$F$7:$F$63,DIÁRIO!$D$7:$D$63,BALANCETE!B112,DIÁRIO!$C$7:$C$63,BALANCETE!$B$133)</f>
        <v>0</v>
      </c>
      <c r="H112" s="291">
        <f>SUMIFS(DIÁRIO!$F$7:$F$63,DIÁRIO!$D$7:$D$63,BALANCETE!B112,DIÁRIO!$C$7:$C$63,BALANCETE!$B$134)</f>
        <v>0</v>
      </c>
      <c r="I112" s="291">
        <f t="shared" si="89"/>
        <v>0</v>
      </c>
      <c r="J112" s="345"/>
      <c r="K112" s="345"/>
      <c r="M112" s="291">
        <f t="shared" si="76"/>
        <v>0</v>
      </c>
      <c r="N112" s="291">
        <f>SUMIFS(DIÁRIO!$F$66:$F$141,DIÁRIO!$D$66:$D$141,BALANCETE!B112,DIÁRIO!$C$66:$C$141,BALANCETE!$B$133)</f>
        <v>0</v>
      </c>
      <c r="O112" s="291">
        <f>SUMIFS(DIÁRIO!$F$66:$F$141,DIÁRIO!$D$66:$D$141,BALANCETE!B112,DIÁRIO!$C$66:$C$141,BALANCETE!$B$134)</f>
        <v>0</v>
      </c>
      <c r="P112" s="291">
        <f t="shared" si="87"/>
        <v>0</v>
      </c>
      <c r="Q112" s="345"/>
      <c r="R112" s="345"/>
      <c r="T112" s="293">
        <f t="shared" si="58"/>
        <v>0</v>
      </c>
      <c r="U112" s="291">
        <f>SUMIFS(DIÁRIO!$F$144:$F$249,DIÁRIO!$D$144:$D$249,BALANCETE!B112,DIÁRIO!$C$144:$C$249,BALANCETE!$B$133)</f>
        <v>0</v>
      </c>
      <c r="V112" s="291">
        <f>SUMIFS(DIÁRIO!$F$144:$F$249,DIÁRIO!$D$144:$D$249,BALANCETE!B112,DIÁRIO!$C$144:$C$249,BALANCETE!$B$134)</f>
        <v>0</v>
      </c>
      <c r="W112" s="291">
        <f t="shared" si="88"/>
        <v>0</v>
      </c>
      <c r="X112" s="345"/>
      <c r="Y112" s="345"/>
    </row>
    <row r="113" spans="2:25" outlineLevel="1">
      <c r="B113" s="284" t="s">
        <v>167</v>
      </c>
      <c r="C113" s="285" t="s">
        <v>169</v>
      </c>
      <c r="F113" s="293">
        <v>0</v>
      </c>
      <c r="G113" s="293">
        <f>SUM(G114:G118)</f>
        <v>0</v>
      </c>
      <c r="H113" s="293">
        <f t="shared" ref="H113:I113" si="90">SUM(H114:H118)</f>
        <v>0</v>
      </c>
      <c r="I113" s="293">
        <f t="shared" si="90"/>
        <v>0</v>
      </c>
      <c r="J113" s="345"/>
      <c r="K113" s="345"/>
      <c r="M113" s="293">
        <f t="shared" si="76"/>
        <v>0</v>
      </c>
      <c r="N113" s="293">
        <f>SUM(N114:N118)</f>
        <v>2390.0500000000002</v>
      </c>
      <c r="O113" s="293">
        <f>SUM(O114:O118)</f>
        <v>0</v>
      </c>
      <c r="P113" s="293">
        <f t="shared" si="87"/>
        <v>2390.0500000000002</v>
      </c>
      <c r="Q113" s="345"/>
      <c r="R113" s="345"/>
      <c r="T113" s="293">
        <f t="shared" si="58"/>
        <v>2390.0500000000002</v>
      </c>
      <c r="U113" s="293">
        <f>SUM(U114:U118)</f>
        <v>2660.55</v>
      </c>
      <c r="V113" s="293">
        <f>SUM(V114:V118)</f>
        <v>0</v>
      </c>
      <c r="W113" s="293">
        <f t="shared" si="88"/>
        <v>5050.6000000000004</v>
      </c>
      <c r="X113" s="345"/>
      <c r="Y113" s="345"/>
    </row>
    <row r="114" spans="2:25" outlineLevel="1">
      <c r="B114" s="287" t="s">
        <v>168</v>
      </c>
      <c r="C114" s="288" t="s">
        <v>579</v>
      </c>
      <c r="F114" s="291">
        <v>0</v>
      </c>
      <c r="G114" s="291">
        <f>SUMIFS(DIÁRIO!$F$7:$F$63,DIÁRIO!$D$7:$D$63,BALANCETE!B114,DIÁRIO!$C$7:$C$63,BALANCETE!$B$133)</f>
        <v>0</v>
      </c>
      <c r="H114" s="291">
        <f>SUMIFS(DIÁRIO!$F$7:$F$63,DIÁRIO!$D$7:$D$63,BALANCETE!B114,DIÁRIO!$C$7:$C$63,BALANCETE!$B$134)</f>
        <v>0</v>
      </c>
      <c r="I114" s="291">
        <f t="shared" si="89"/>
        <v>0</v>
      </c>
      <c r="J114" s="345"/>
      <c r="K114" s="345"/>
      <c r="M114" s="291">
        <f t="shared" si="76"/>
        <v>0</v>
      </c>
      <c r="N114" s="291">
        <f>SUMIFS(DIÁRIO!$F$66:$F$141,DIÁRIO!$D$66:$D$141,BALANCETE!B114,DIÁRIO!$C$66:$C$141,BALANCETE!$B$133)</f>
        <v>1000</v>
      </c>
      <c r="O114" s="291">
        <f>SUMIFS(DIÁRIO!$F$66:$F$141,DIÁRIO!$D$66:$D$141,BALANCETE!B114,DIÁRIO!$C$66:$C$141,BALANCETE!$B$134)</f>
        <v>0</v>
      </c>
      <c r="P114" s="291">
        <f t="shared" si="87"/>
        <v>1000</v>
      </c>
      <c r="Q114" s="345">
        <f>P114/P113</f>
        <v>0.4184012886759691</v>
      </c>
      <c r="R114" s="345"/>
      <c r="T114" s="293">
        <f t="shared" si="58"/>
        <v>1000</v>
      </c>
      <c r="U114" s="291">
        <f>SUMIFS(DIÁRIO!$F$144:$F$249,DIÁRIO!$D$144:$D$249,BALANCETE!B114,DIÁRIO!$C$144:$C$249,BALANCETE!$B$133)</f>
        <v>1000</v>
      </c>
      <c r="V114" s="291">
        <f>SUMIFS(DIÁRIO!$F$144:$F$249,DIÁRIO!$D$144:$D$249,BALANCETE!B114,DIÁRIO!$C$144:$C$249,BALANCETE!$B$134)</f>
        <v>0</v>
      </c>
      <c r="W114" s="291">
        <f t="shared" si="88"/>
        <v>2000</v>
      </c>
      <c r="X114" s="345"/>
      <c r="Y114" s="345"/>
    </row>
    <row r="115" spans="2:25" outlineLevel="1">
      <c r="B115" s="287" t="s">
        <v>170</v>
      </c>
      <c r="C115" s="288" t="s">
        <v>580</v>
      </c>
      <c r="F115" s="291">
        <v>0</v>
      </c>
      <c r="G115" s="291">
        <f>SUMIFS(DIÁRIO!$F$7:$F$63,DIÁRIO!$D$7:$D$63,BALANCETE!B115,DIÁRIO!$C$7:$C$63,BALANCETE!$B$133)</f>
        <v>0</v>
      </c>
      <c r="H115" s="291">
        <f>SUMIFS(DIÁRIO!$F$7:$F$63,DIÁRIO!$D$7:$D$63,BALANCETE!B115,DIÁRIO!$C$7:$C$63,BALANCETE!$B$134)</f>
        <v>0</v>
      </c>
      <c r="I115" s="291">
        <f t="shared" si="89"/>
        <v>0</v>
      </c>
      <c r="J115" s="345"/>
      <c r="K115" s="345"/>
      <c r="M115" s="291">
        <f t="shared" si="76"/>
        <v>0</v>
      </c>
      <c r="N115" s="291">
        <f>SUMIFS(DIÁRIO!$F$66:$F$141,DIÁRIO!$D$66:$D$141,BALANCETE!B115,DIÁRIO!$C$66:$C$141,BALANCETE!$B$133)</f>
        <v>750</v>
      </c>
      <c r="O115" s="291">
        <f>SUMIFS(DIÁRIO!$F$66:$F$141,DIÁRIO!$D$66:$D$141,BALANCETE!B115,DIÁRIO!$C$66:$C$141,BALANCETE!$B$134)</f>
        <v>0</v>
      </c>
      <c r="P115" s="291">
        <f t="shared" si="87"/>
        <v>750</v>
      </c>
      <c r="Q115" s="345">
        <f>P115/P113</f>
        <v>0.31380096650697681</v>
      </c>
      <c r="R115" s="345"/>
      <c r="T115" s="293">
        <f t="shared" si="58"/>
        <v>750</v>
      </c>
      <c r="U115" s="291">
        <f>SUMIFS(DIÁRIO!$F$144:$F$249,DIÁRIO!$D$144:$D$249,BALANCETE!B115,DIÁRIO!$C$144:$C$249,BALANCETE!$B$133)</f>
        <v>900</v>
      </c>
      <c r="V115" s="291">
        <f>SUMIFS(DIÁRIO!$F$144:$F$249,DIÁRIO!$D$144:$D$249,BALANCETE!B115,DIÁRIO!$C$144:$C$249,BALANCETE!$B$134)</f>
        <v>0</v>
      </c>
      <c r="W115" s="291">
        <f t="shared" si="88"/>
        <v>1650</v>
      </c>
      <c r="X115" s="345"/>
      <c r="Y115" s="345"/>
    </row>
    <row r="116" spans="2:25" outlineLevel="1">
      <c r="B116" s="287" t="s">
        <v>172</v>
      </c>
      <c r="C116" s="288" t="s">
        <v>582</v>
      </c>
      <c r="F116" s="291">
        <v>0</v>
      </c>
      <c r="G116" s="291">
        <f>SUMIFS(DIÁRIO!$F$7:$F$63,DIÁRIO!$D$7:$D$63,BALANCETE!B116,DIÁRIO!$C$7:$C$63,BALANCETE!$B$133)</f>
        <v>0</v>
      </c>
      <c r="H116" s="291">
        <f>SUMIFS(DIÁRIO!$F$7:$F$63,DIÁRIO!$D$7:$D$63,BALANCETE!B116,DIÁRIO!$C$7:$C$63,BALANCETE!$B$134)</f>
        <v>0</v>
      </c>
      <c r="I116" s="291">
        <f t="shared" si="89"/>
        <v>0</v>
      </c>
      <c r="J116" s="345"/>
      <c r="K116" s="345"/>
      <c r="M116" s="291">
        <f t="shared" si="76"/>
        <v>0</v>
      </c>
      <c r="N116" s="291">
        <f>SUMIFS(DIÁRIO!$F$66:$F$141,DIÁRIO!$D$66:$D$141,BALANCETE!B116,DIÁRIO!$C$66:$C$141,BALANCETE!$B$133)</f>
        <v>200</v>
      </c>
      <c r="O116" s="291">
        <f>SUMIFS(DIÁRIO!$F$66:$F$141,DIÁRIO!$D$66:$D$141,BALANCETE!B116,DIÁRIO!$C$66:$C$141,BALANCETE!$B$134)</f>
        <v>0</v>
      </c>
      <c r="P116" s="291">
        <f t="shared" si="87"/>
        <v>200</v>
      </c>
      <c r="Q116" s="345">
        <f>P116/P113</f>
        <v>8.3680257735193816E-2</v>
      </c>
      <c r="R116" s="345"/>
      <c r="T116" s="293">
        <f t="shared" si="58"/>
        <v>200</v>
      </c>
      <c r="U116" s="291">
        <f>SUMIFS(DIÁRIO!$F$144:$F$249,DIÁRIO!$D$144:$D$249,BALANCETE!B116,DIÁRIO!$C$144:$C$249,BALANCETE!$B$133)</f>
        <v>250</v>
      </c>
      <c r="V116" s="291">
        <f>SUMIFS(DIÁRIO!$F$144:$F$249,DIÁRIO!$D$144:$D$249,BALANCETE!B116,DIÁRIO!$C$144:$C$249,BALANCETE!$B$134)</f>
        <v>0</v>
      </c>
      <c r="W116" s="291">
        <f t="shared" si="88"/>
        <v>450</v>
      </c>
      <c r="X116" s="345"/>
      <c r="Y116" s="345"/>
    </row>
    <row r="117" spans="2:25" outlineLevel="1">
      <c r="B117" s="287" t="s">
        <v>581</v>
      </c>
      <c r="C117" s="288" t="s">
        <v>629</v>
      </c>
      <c r="F117" s="291">
        <v>0</v>
      </c>
      <c r="G117" s="291">
        <f>SUMIFS(DIÁRIO!$F$7:$F$63,DIÁRIO!$D$7:$D$63,BALANCETE!B117,DIÁRIO!$C$7:$C$63,BALANCETE!$B$133)</f>
        <v>0</v>
      </c>
      <c r="H117" s="291">
        <f>SUMIFS(DIÁRIO!$F$7:$F$63,DIÁRIO!$D$7:$D$63,BALANCETE!B117,DIÁRIO!$C$7:$C$63,BALANCETE!$B$134)</f>
        <v>0</v>
      </c>
      <c r="I117" s="291">
        <f t="shared" si="89"/>
        <v>0</v>
      </c>
      <c r="J117" s="345"/>
      <c r="K117" s="345"/>
      <c r="M117" s="291">
        <f t="shared" si="76"/>
        <v>0</v>
      </c>
      <c r="N117" s="291">
        <f>SUMIFS(DIÁRIO!$F$66:$F$141,DIÁRIO!$D$66:$D$141,BALANCETE!B117,DIÁRIO!$C$66:$C$141,BALANCETE!$B$133)</f>
        <v>400</v>
      </c>
      <c r="O117" s="291">
        <f>SUMIFS(DIÁRIO!$F$66:$F$141,DIÁRIO!$D$66:$D$141,BALANCETE!B117,DIÁRIO!$C$66:$C$141,BALANCETE!$B$134)</f>
        <v>0</v>
      </c>
      <c r="P117" s="291">
        <f t="shared" si="87"/>
        <v>400</v>
      </c>
      <c r="Q117" s="345">
        <f>P117/P113</f>
        <v>0.16736051547038763</v>
      </c>
      <c r="R117" s="345"/>
      <c r="T117" s="293">
        <f t="shared" si="58"/>
        <v>400</v>
      </c>
      <c r="U117" s="291">
        <f>SUMIFS(DIÁRIO!$F$144:$F$249,DIÁRIO!$D$144:$D$249,BALANCETE!B117,DIÁRIO!$C$144:$C$249,BALANCETE!$B$133)</f>
        <v>400</v>
      </c>
      <c r="V117" s="291">
        <f>SUMIFS(DIÁRIO!$F$144:$F$249,DIÁRIO!$D$144:$D$249,BALANCETE!B117,DIÁRIO!$C$144:$C$249,BALANCETE!$B$134)</f>
        <v>0</v>
      </c>
      <c r="W117" s="291">
        <f t="shared" si="88"/>
        <v>800</v>
      </c>
      <c r="X117" s="345"/>
      <c r="Y117" s="345"/>
    </row>
    <row r="118" spans="2:25" outlineLevel="1">
      <c r="B118" s="287" t="s">
        <v>630</v>
      </c>
      <c r="C118" s="288" t="s">
        <v>631</v>
      </c>
      <c r="F118" s="291">
        <v>0</v>
      </c>
      <c r="G118" s="291">
        <f>SUMIFS(DIÁRIO!$F$7:$F$63,DIÁRIO!$D$7:$D$63,BALANCETE!B118,DIÁRIO!$C$7:$C$63,BALANCETE!$B$133)</f>
        <v>0</v>
      </c>
      <c r="H118" s="291">
        <f>SUMIFS(DIÁRIO!$F$7:$F$63,DIÁRIO!$D$7:$D$63,BALANCETE!B118,DIÁRIO!$C$7:$C$63,BALANCETE!$B$134)</f>
        <v>0</v>
      </c>
      <c r="I118" s="291">
        <f t="shared" si="89"/>
        <v>0</v>
      </c>
      <c r="J118" s="345"/>
      <c r="K118" s="345"/>
      <c r="M118" s="291">
        <f t="shared" si="76"/>
        <v>0</v>
      </c>
      <c r="N118" s="291">
        <f>SUMIFS(DIÁRIO!$F$66:$F$141,DIÁRIO!$D$66:$D$141,BALANCETE!B118,DIÁRIO!$C$66:$C$141,BALANCETE!$B$133)</f>
        <v>40.049999999999997</v>
      </c>
      <c r="O118" s="291">
        <f>SUMIFS(DIÁRIO!$F$66:$F$141,DIÁRIO!$D$66:$D$141,BALANCETE!B118,DIÁRIO!$C$66:$C$141,BALANCETE!$B$134)</f>
        <v>0</v>
      </c>
      <c r="P118" s="291">
        <f t="shared" si="87"/>
        <v>40.049999999999997</v>
      </c>
      <c r="Q118" s="345">
        <f>P118/P113</f>
        <v>1.6756971611472563E-2</v>
      </c>
      <c r="R118" s="345"/>
      <c r="T118" s="293">
        <f t="shared" si="58"/>
        <v>40.049999999999997</v>
      </c>
      <c r="U118" s="291">
        <f>SUMIFS(DIÁRIO!$F$144:$F$249,DIÁRIO!$D$144:$D$249,BALANCETE!B118,DIÁRIO!$C$144:$C$249,BALANCETE!$B$133)</f>
        <v>110.55</v>
      </c>
      <c r="V118" s="291">
        <f>SUMIFS(DIÁRIO!$F$144:$F$249,DIÁRIO!$D$144:$D$249,BALANCETE!B118,DIÁRIO!$C$144:$C$249,BALANCETE!$B$134)</f>
        <v>0</v>
      </c>
      <c r="W118" s="291">
        <f t="shared" si="88"/>
        <v>150.6</v>
      </c>
      <c r="X118" s="345"/>
      <c r="Y118" s="345"/>
    </row>
    <row r="119" spans="2:25" outlineLevel="1">
      <c r="B119" s="284" t="s">
        <v>174</v>
      </c>
      <c r="C119" s="285" t="s">
        <v>171</v>
      </c>
      <c r="F119" s="293">
        <v>0</v>
      </c>
      <c r="G119" s="293">
        <f>SUM(G120:G122)</f>
        <v>4074</v>
      </c>
      <c r="H119" s="293">
        <f t="shared" ref="H119:I119" si="91">SUM(H120:H122)</f>
        <v>0</v>
      </c>
      <c r="I119" s="293">
        <f t="shared" si="91"/>
        <v>4074</v>
      </c>
      <c r="J119" s="345"/>
      <c r="K119" s="345"/>
      <c r="M119" s="293">
        <f t="shared" si="76"/>
        <v>4074</v>
      </c>
      <c r="N119" s="293">
        <f>SUM(N120:N122)</f>
        <v>5432</v>
      </c>
      <c r="O119" s="293">
        <f t="shared" ref="O119" si="92">SUM(O120:O122)</f>
        <v>0</v>
      </c>
      <c r="P119" s="293">
        <f t="shared" ref="P119" si="93">SUM(P120:P122)</f>
        <v>9506</v>
      </c>
      <c r="Q119" s="345"/>
      <c r="R119" s="345">
        <f>(P119/I119)-1</f>
        <v>1.3333333333333335</v>
      </c>
      <c r="T119" s="293">
        <f t="shared" si="58"/>
        <v>9506</v>
      </c>
      <c r="U119" s="293">
        <f>SUM(U120:U122)</f>
        <v>5432</v>
      </c>
      <c r="V119" s="293">
        <f t="shared" ref="V119:W119" si="94">SUM(V120:V122)</f>
        <v>0</v>
      </c>
      <c r="W119" s="293">
        <f t="shared" si="94"/>
        <v>14938</v>
      </c>
      <c r="X119" s="345"/>
      <c r="Y119" s="345">
        <f>(W119/P119)-1</f>
        <v>0.5714285714285714</v>
      </c>
    </row>
    <row r="120" spans="2:25" outlineLevel="1">
      <c r="B120" s="287" t="s">
        <v>176</v>
      </c>
      <c r="C120" s="288" t="s">
        <v>587</v>
      </c>
      <c r="F120" s="291">
        <v>0</v>
      </c>
      <c r="G120" s="291">
        <f>SUMIFS(DIÁRIO!$F$7:$F$63,DIÁRIO!$D$7:$D$63,BALANCETE!B120,DIÁRIO!$C$7:$C$63,BALANCETE!$B$133)</f>
        <v>3000</v>
      </c>
      <c r="H120" s="291">
        <f>SUMIFS(DIÁRIO!$F$7:$F$63,DIÁRIO!$D$7:$D$63,BALANCETE!B120,DIÁRIO!$C$7:$C$63,BALANCETE!$B$134)</f>
        <v>0</v>
      </c>
      <c r="I120" s="291">
        <f t="shared" si="89"/>
        <v>3000</v>
      </c>
      <c r="J120" s="345">
        <f>I120/I119</f>
        <v>0.7363770250368189</v>
      </c>
      <c r="K120" s="345"/>
      <c r="M120" s="291">
        <f t="shared" si="76"/>
        <v>3000</v>
      </c>
      <c r="N120" s="291">
        <f>SUMIFS(DIÁRIO!$F$66:$F$141,DIÁRIO!$D$66:$D$141,BALANCETE!B120,DIÁRIO!$C$66:$C$141,BALANCETE!$B$133)</f>
        <v>4000</v>
      </c>
      <c r="O120" s="291">
        <f>SUMIFS(DIÁRIO!$F$66:$F$141,DIÁRIO!$D$66:$D$141,BALANCETE!B120,DIÁRIO!$C$66:$C$141,BALANCETE!$B$134)</f>
        <v>0</v>
      </c>
      <c r="P120" s="291">
        <f t="shared" si="87"/>
        <v>7000</v>
      </c>
      <c r="Q120" s="345">
        <f>P120/P119</f>
        <v>0.7363770250368189</v>
      </c>
      <c r="R120" s="345"/>
      <c r="T120" s="293">
        <f t="shared" si="58"/>
        <v>7000</v>
      </c>
      <c r="U120" s="291">
        <f>SUMIFS(DIÁRIO!$F$144:$F$249,DIÁRIO!$D$144:$D$249,BALANCETE!B120,DIÁRIO!$C$144:$C$249,BALANCETE!$B$133)</f>
        <v>4000</v>
      </c>
      <c r="V120" s="291">
        <f>SUMIFS(DIÁRIO!$F$144:$F$249,DIÁRIO!$D$144:$D$249,BALANCETE!B120,DIÁRIO!$C$144:$C$249,BALANCETE!$B$134)</f>
        <v>0</v>
      </c>
      <c r="W120" s="291">
        <f t="shared" si="88"/>
        <v>11000</v>
      </c>
      <c r="X120" s="345">
        <f>W120/W119</f>
        <v>0.7363770250368189</v>
      </c>
      <c r="Y120" s="345"/>
    </row>
    <row r="121" spans="2:25" outlineLevel="1">
      <c r="B121" s="287" t="s">
        <v>178</v>
      </c>
      <c r="C121" s="288" t="s">
        <v>588</v>
      </c>
      <c r="F121" s="291">
        <v>0</v>
      </c>
      <c r="G121" s="291">
        <f>SUMIFS(DIÁRIO!$F$7:$F$63,DIÁRIO!$D$7:$D$63,BALANCETE!B121,DIÁRIO!$C$7:$C$63,BALANCETE!$B$133)</f>
        <v>834</v>
      </c>
      <c r="H121" s="291">
        <f>SUMIFS(DIÁRIO!$F$7:$F$63,DIÁRIO!$D$7:$D$63,BALANCETE!B121,DIÁRIO!$C$7:$C$63,BALANCETE!$B$134)</f>
        <v>0</v>
      </c>
      <c r="I121" s="291">
        <f t="shared" si="89"/>
        <v>834</v>
      </c>
      <c r="J121" s="345">
        <f>I121/I119</f>
        <v>0.20471281296023564</v>
      </c>
      <c r="K121" s="345"/>
      <c r="M121" s="291">
        <f t="shared" si="76"/>
        <v>834</v>
      </c>
      <c r="N121" s="291">
        <f>SUMIFS(DIÁRIO!$F$66:$F$141,DIÁRIO!$D$66:$D$141,BALANCETE!B121,DIÁRIO!$C$66:$C$141,BALANCETE!$B$133)</f>
        <v>1112</v>
      </c>
      <c r="O121" s="291">
        <f>SUMIFS(DIÁRIO!$F$66:$F$141,DIÁRIO!$D$66:$D$141,BALANCETE!B121,DIÁRIO!$C$66:$C$141,BALANCETE!$B$134)</f>
        <v>0</v>
      </c>
      <c r="P121" s="291">
        <f t="shared" si="87"/>
        <v>1946</v>
      </c>
      <c r="Q121" s="345">
        <f>P121/P119</f>
        <v>0.20471281296023564</v>
      </c>
      <c r="R121" s="345"/>
      <c r="T121" s="293">
        <f t="shared" si="58"/>
        <v>1946</v>
      </c>
      <c r="U121" s="291">
        <f>SUMIFS(DIÁRIO!$F$144:$F$249,DIÁRIO!$D$144:$D$249,BALANCETE!B121,DIÁRIO!$C$144:$C$249,BALANCETE!$B$133)</f>
        <v>1112</v>
      </c>
      <c r="V121" s="291">
        <f>SUMIFS(DIÁRIO!$F$144:$F$249,DIÁRIO!$D$144:$D$249,BALANCETE!B121,DIÁRIO!$C$144:$C$249,BALANCETE!$B$134)</f>
        <v>0</v>
      </c>
      <c r="W121" s="291">
        <f t="shared" si="88"/>
        <v>3058</v>
      </c>
      <c r="X121" s="345">
        <f>W121/W119</f>
        <v>0.20471281296023564</v>
      </c>
      <c r="Y121" s="345"/>
    </row>
    <row r="122" spans="2:25" outlineLevel="1">
      <c r="B122" s="287" t="s">
        <v>589</v>
      </c>
      <c r="C122" s="288" t="s">
        <v>590</v>
      </c>
      <c r="F122" s="291">
        <v>0</v>
      </c>
      <c r="G122" s="291">
        <f>SUMIFS(DIÁRIO!$F$7:$F$63,DIÁRIO!$D$7:$D$63,BALANCETE!B122,DIÁRIO!$C$7:$C$63,BALANCETE!$B$133)</f>
        <v>240</v>
      </c>
      <c r="H122" s="291">
        <f>SUMIFS(DIÁRIO!$F$7:$F$63,DIÁRIO!$D$7:$D$63,BALANCETE!B122,DIÁRIO!$C$7:$C$63,BALANCETE!$B$134)</f>
        <v>0</v>
      </c>
      <c r="I122" s="291">
        <f t="shared" si="89"/>
        <v>240</v>
      </c>
      <c r="J122" s="345">
        <f>I122/I119</f>
        <v>5.8910162002945507E-2</v>
      </c>
      <c r="K122" s="345"/>
      <c r="M122" s="291">
        <f t="shared" si="76"/>
        <v>240</v>
      </c>
      <c r="N122" s="291">
        <f>SUMIFS(DIÁRIO!$F$66:$F$141,DIÁRIO!$D$66:$D$141,BALANCETE!B122,DIÁRIO!$C$66:$C$141,BALANCETE!$B$133)</f>
        <v>320</v>
      </c>
      <c r="O122" s="291">
        <f>SUMIFS(DIÁRIO!$F$66:$F$141,DIÁRIO!$D$66:$D$141,BALANCETE!B122,DIÁRIO!$C$66:$C$141,BALANCETE!$B$134)</f>
        <v>0</v>
      </c>
      <c r="P122" s="291">
        <f t="shared" si="87"/>
        <v>560</v>
      </c>
      <c r="Q122" s="345">
        <f>P122/P119</f>
        <v>5.8910162002945507E-2</v>
      </c>
      <c r="R122" s="345"/>
      <c r="T122" s="293">
        <f t="shared" si="58"/>
        <v>560</v>
      </c>
      <c r="U122" s="291">
        <f>SUMIFS(DIÁRIO!$F$144:$F$249,DIÁRIO!$D$144:$D$249,BALANCETE!B122,DIÁRIO!$C$144:$C$249,BALANCETE!$B$133)</f>
        <v>320</v>
      </c>
      <c r="V122" s="291">
        <f>SUMIFS(DIÁRIO!$F$144:$F$249,DIÁRIO!$D$144:$D$249,BALANCETE!B122,DIÁRIO!$C$144:$C$249,BALANCETE!$B$134)</f>
        <v>0</v>
      </c>
      <c r="W122" s="291">
        <f t="shared" si="88"/>
        <v>880</v>
      </c>
      <c r="X122" s="345">
        <f>W122/W119</f>
        <v>5.8910162002945507E-2</v>
      </c>
      <c r="Y122" s="345"/>
    </row>
    <row r="123" spans="2:25" outlineLevel="1">
      <c r="B123" s="284" t="s">
        <v>179</v>
      </c>
      <c r="C123" s="285" t="s">
        <v>175</v>
      </c>
      <c r="F123" s="293">
        <v>0</v>
      </c>
      <c r="G123" s="293">
        <f>SUM(G124:G125)</f>
        <v>80.64</v>
      </c>
      <c r="H123" s="293">
        <f t="shared" ref="H123:I123" si="95">SUM(H124:H125)</f>
        <v>0</v>
      </c>
      <c r="I123" s="293">
        <f t="shared" si="95"/>
        <v>80.64</v>
      </c>
      <c r="J123" s="345"/>
      <c r="K123" s="345"/>
      <c r="M123" s="293">
        <f t="shared" si="76"/>
        <v>80.64</v>
      </c>
      <c r="N123" s="293">
        <f>SUM(N124:N125)</f>
        <v>160.36000000000001</v>
      </c>
      <c r="O123" s="293">
        <f t="shared" ref="O123" si="96">SUM(O124:O125)</f>
        <v>0</v>
      </c>
      <c r="P123" s="293">
        <f t="shared" ref="P123" si="97">SUM(P124:P125)</f>
        <v>241</v>
      </c>
      <c r="Q123" s="345"/>
      <c r="R123" s="345"/>
      <c r="T123" s="293">
        <f t="shared" si="58"/>
        <v>241</v>
      </c>
      <c r="U123" s="293">
        <f>SUM(U124:U125)</f>
        <v>118</v>
      </c>
      <c r="V123" s="293">
        <f t="shared" ref="V123:W123" si="98">SUM(V124:V125)</f>
        <v>0</v>
      </c>
      <c r="W123" s="293">
        <f t="shared" si="98"/>
        <v>359</v>
      </c>
      <c r="X123" s="345"/>
      <c r="Y123" s="345"/>
    </row>
    <row r="124" spans="2:25" outlineLevel="1">
      <c r="B124" s="287" t="s">
        <v>180</v>
      </c>
      <c r="C124" s="288" t="s">
        <v>177</v>
      </c>
      <c r="F124" s="291">
        <v>0</v>
      </c>
      <c r="G124" s="291">
        <f>SUMIFS(DIÁRIO!$F$7:$F$63,DIÁRIO!$D$7:$D$63,BALANCETE!B124,DIÁRIO!$C$7:$C$63,BALANCETE!$B$133)</f>
        <v>0</v>
      </c>
      <c r="H124" s="291">
        <f>SUMIFS(DIÁRIO!$F$7:$F$63,DIÁRIO!$D$7:$D$63,BALANCETE!B124,DIÁRIO!$C$7:$C$63,BALANCETE!$B$134)</f>
        <v>0</v>
      </c>
      <c r="I124" s="291">
        <f t="shared" si="89"/>
        <v>0</v>
      </c>
      <c r="J124" s="345"/>
      <c r="K124" s="345"/>
      <c r="M124" s="291">
        <f t="shared" si="76"/>
        <v>0</v>
      </c>
      <c r="N124" s="291">
        <f>SUMIFS(DIÁRIO!$F$66:$F$141,DIÁRIO!$D$66:$D$141,BALANCETE!B124,DIÁRIO!$C$66:$C$141,BALANCETE!$B$133)</f>
        <v>60</v>
      </c>
      <c r="O124" s="291">
        <f>SUMIFS(DIÁRIO!$F$66:$F$141,DIÁRIO!$D$66:$D$141,BALANCETE!B124,DIÁRIO!$C$66:$C$141,BALANCETE!$B$134)</f>
        <v>0</v>
      </c>
      <c r="P124" s="291">
        <f t="shared" si="87"/>
        <v>60</v>
      </c>
      <c r="Q124" s="345"/>
      <c r="R124" s="345"/>
      <c r="T124" s="293">
        <f t="shared" si="58"/>
        <v>60</v>
      </c>
      <c r="U124" s="291">
        <f>SUMIFS(DIÁRIO!$F$144:$F$249,DIÁRIO!$D$144:$D$249,BALANCETE!B124,DIÁRIO!$C$144:$C$249,BALANCETE!$B$133)</f>
        <v>15</v>
      </c>
      <c r="V124" s="291">
        <f>SUMIFS(DIÁRIO!$F$144:$F$249,DIÁRIO!$D$144:$D$249,BALANCETE!B124,DIÁRIO!$C$144:$C$249,BALANCETE!$B$134)</f>
        <v>0</v>
      </c>
      <c r="W124" s="291">
        <f t="shared" si="88"/>
        <v>75</v>
      </c>
      <c r="X124" s="345"/>
      <c r="Y124" s="345"/>
    </row>
    <row r="125" spans="2:25" outlineLevel="1">
      <c r="B125" s="287" t="s">
        <v>181</v>
      </c>
      <c r="C125" s="288" t="s">
        <v>596</v>
      </c>
      <c r="F125" s="291">
        <v>0</v>
      </c>
      <c r="G125" s="291">
        <f>SUMIFS(DIÁRIO!$F$7:$F$63,DIÁRIO!$D$7:$D$63,BALANCETE!B125,DIÁRIO!$C$7:$C$63,BALANCETE!$B$133)</f>
        <v>80.64</v>
      </c>
      <c r="H125" s="291">
        <f>SUMIFS(DIÁRIO!$F$7:$F$63,DIÁRIO!$D$7:$D$63,BALANCETE!B125,DIÁRIO!$C$7:$C$63,BALANCETE!$B$134)</f>
        <v>0</v>
      </c>
      <c r="I125" s="291">
        <f t="shared" si="89"/>
        <v>80.64</v>
      </c>
      <c r="J125" s="345">
        <f>I125/I123</f>
        <v>1</v>
      </c>
      <c r="K125" s="345"/>
      <c r="M125" s="291">
        <f t="shared" si="76"/>
        <v>80.64</v>
      </c>
      <c r="N125" s="291">
        <f>SUMIFS(DIÁRIO!$F$66:$F$141,DIÁRIO!$D$66:$D$141,BALANCETE!B125,DIÁRIO!$C$66:$C$141,BALANCETE!$B$133)</f>
        <v>100.36</v>
      </c>
      <c r="O125" s="291">
        <f>SUMIFS(DIÁRIO!$F$66:$F$141,DIÁRIO!$D$66:$D$141,BALANCETE!B125,DIÁRIO!$C$66:$C$141,BALANCETE!$B$134)</f>
        <v>0</v>
      </c>
      <c r="P125" s="291">
        <f t="shared" si="87"/>
        <v>181</v>
      </c>
      <c r="Q125" s="345">
        <f>P125/P123</f>
        <v>0.75103734439834025</v>
      </c>
      <c r="R125" s="345"/>
      <c r="T125" s="293">
        <f t="shared" si="58"/>
        <v>181</v>
      </c>
      <c r="U125" s="291">
        <f>SUMIFS(DIÁRIO!$F$144:$F$249,DIÁRIO!$D$144:$D$249,BALANCETE!B125,DIÁRIO!$C$144:$C$249,BALANCETE!$B$133)</f>
        <v>103</v>
      </c>
      <c r="V125" s="291">
        <f>SUMIFS(DIÁRIO!$F$144:$F$249,DIÁRIO!$D$144:$D$249,BALANCETE!B125,DIÁRIO!$C$144:$C$249,BALANCETE!$B$134)</f>
        <v>0</v>
      </c>
      <c r="W125" s="291">
        <f t="shared" si="88"/>
        <v>284</v>
      </c>
      <c r="X125" s="345">
        <f>W125/W123</f>
        <v>0.79108635097493041</v>
      </c>
      <c r="Y125" s="345"/>
    </row>
    <row r="126" spans="2:25" outlineLevel="1">
      <c r="B126" s="284" t="s">
        <v>583</v>
      </c>
      <c r="C126" s="285" t="s">
        <v>670</v>
      </c>
      <c r="F126" s="293">
        <v>0</v>
      </c>
      <c r="G126" s="293">
        <f>SUM(G127:G129)</f>
        <v>0</v>
      </c>
      <c r="H126" s="293">
        <f t="shared" ref="H126:I126" si="99">SUM(H127:H129)</f>
        <v>0</v>
      </c>
      <c r="I126" s="293">
        <f t="shared" si="99"/>
        <v>0</v>
      </c>
      <c r="J126" s="345"/>
      <c r="K126" s="345"/>
      <c r="M126" s="291">
        <f t="shared" si="76"/>
        <v>0</v>
      </c>
      <c r="N126" s="291">
        <f>SUMIFS(DIÁRIO!$F$66:$F$141,DIÁRIO!$D$66:$D$141,BALANCETE!B126,DIÁRIO!$C$66:$C$141,BALANCETE!$B$133)</f>
        <v>0</v>
      </c>
      <c r="O126" s="291">
        <f>SUMIFS(DIÁRIO!$F$66:$F$141,DIÁRIO!$D$66:$D$141,BALANCETE!B126,DIÁRIO!$C$66:$C$141,BALANCETE!$B$134)</f>
        <v>0</v>
      </c>
      <c r="P126" s="291">
        <f t="shared" si="87"/>
        <v>0</v>
      </c>
      <c r="Q126" s="345"/>
      <c r="R126" s="345"/>
      <c r="T126" s="293">
        <f t="shared" si="58"/>
        <v>0</v>
      </c>
      <c r="U126" s="293">
        <f>SUM(U127:U129)</f>
        <v>5701</v>
      </c>
      <c r="V126" s="293">
        <f>SUM(V127:V129)</f>
        <v>0</v>
      </c>
      <c r="W126" s="293">
        <f t="shared" si="88"/>
        <v>5701</v>
      </c>
      <c r="X126" s="345"/>
      <c r="Y126" s="345"/>
    </row>
    <row r="127" spans="2:25" outlineLevel="1">
      <c r="B127" s="287" t="s">
        <v>584</v>
      </c>
      <c r="C127" s="288" t="s">
        <v>671</v>
      </c>
      <c r="F127" s="291">
        <v>0</v>
      </c>
      <c r="G127" s="291">
        <f>SUMIFS(DIÁRIO!$F$7:$F$63,DIÁRIO!$D$7:$D$63,BALANCETE!B127,DIÁRIO!$C$7:$C$63,BALANCETE!$B$133)</f>
        <v>0</v>
      </c>
      <c r="H127" s="291">
        <f>SUMIFS(DIÁRIO!$F$7:$F$63,DIÁRIO!$D$7:$D$63,BALANCETE!B127,DIÁRIO!$C$7:$C$63,BALANCETE!$B$134)</f>
        <v>0</v>
      </c>
      <c r="I127" s="291">
        <f t="shared" si="89"/>
        <v>0</v>
      </c>
      <c r="J127" s="345"/>
      <c r="K127" s="345"/>
      <c r="M127" s="291">
        <f t="shared" si="76"/>
        <v>0</v>
      </c>
      <c r="N127" s="291">
        <f>SUMIFS(DIÁRIO!$F$66:$F$141,DIÁRIO!$D$66:$D$141,BALANCETE!B127,DIÁRIO!$C$66:$C$141,BALANCETE!$B$133)</f>
        <v>0</v>
      </c>
      <c r="O127" s="291">
        <f>SUMIFS(DIÁRIO!$F$66:$F$141,DIÁRIO!$D$66:$D$141,BALANCETE!B127,DIÁRIO!$C$66:$C$141,BALANCETE!$B$134)</f>
        <v>0</v>
      </c>
      <c r="P127" s="291">
        <f t="shared" si="87"/>
        <v>0</v>
      </c>
      <c r="Q127" s="345"/>
      <c r="R127" s="345"/>
      <c r="T127" s="293">
        <f t="shared" si="58"/>
        <v>0</v>
      </c>
      <c r="U127" s="291">
        <f>SUMIFS(DIÁRIO!$F$144:$F$249,DIÁRIO!$D$144:$D$249,BALANCETE!B127,DIÁRIO!$C$144:$C$249,BALANCETE!$B$133)</f>
        <v>3111</v>
      </c>
      <c r="V127" s="291">
        <f>SUMIFS(DIÁRIO!$F$144:$F$249,DIÁRIO!$D$144:$D$249,BALANCETE!B127,DIÁRIO!$C$144:$C$249,BALANCETE!$B$134)</f>
        <v>0</v>
      </c>
      <c r="W127" s="291">
        <f t="shared" si="88"/>
        <v>3111</v>
      </c>
      <c r="X127" s="345"/>
      <c r="Y127" s="345"/>
    </row>
    <row r="128" spans="2:25" outlineLevel="1">
      <c r="B128" s="287" t="s">
        <v>585</v>
      </c>
      <c r="C128" s="288" t="s">
        <v>672</v>
      </c>
      <c r="F128" s="291">
        <v>0</v>
      </c>
      <c r="G128" s="291">
        <f>SUMIFS(DIÁRIO!$F$7:$F$63,DIÁRIO!$D$7:$D$63,BALANCETE!B128,DIÁRIO!$C$7:$C$63,BALANCETE!$B$133)</f>
        <v>0</v>
      </c>
      <c r="H128" s="291">
        <f>SUMIFS(DIÁRIO!$F$7:$F$63,DIÁRIO!$D$7:$D$63,BALANCETE!B128,DIÁRIO!$C$7:$C$63,BALANCETE!$B$134)</f>
        <v>0</v>
      </c>
      <c r="I128" s="291">
        <f t="shared" si="89"/>
        <v>0</v>
      </c>
      <c r="J128" s="345"/>
      <c r="K128" s="345"/>
      <c r="M128" s="291">
        <f t="shared" si="76"/>
        <v>0</v>
      </c>
      <c r="N128" s="291">
        <f>SUMIFS(DIÁRIO!$F$66:$F$141,DIÁRIO!$D$66:$D$141,BALANCETE!B128,DIÁRIO!$C$66:$C$141,BALANCETE!$B$133)</f>
        <v>0</v>
      </c>
      <c r="O128" s="291">
        <f>SUMIFS(DIÁRIO!$F$66:$F$141,DIÁRIO!$D$66:$D$141,BALANCETE!B128,DIÁRIO!$C$66:$C$141,BALANCETE!$B$134)</f>
        <v>0</v>
      </c>
      <c r="P128" s="291">
        <f t="shared" si="87"/>
        <v>0</v>
      </c>
      <c r="Q128" s="345"/>
      <c r="R128" s="345"/>
      <c r="T128" s="293">
        <f t="shared" si="58"/>
        <v>0</v>
      </c>
      <c r="U128" s="291">
        <f>SUMIFS(DIÁRIO!$F$144:$F$249,DIÁRIO!$D$144:$D$249,BALANCETE!B128,DIÁRIO!$C$144:$C$249,BALANCETE!$B$133)</f>
        <v>2590</v>
      </c>
      <c r="V128" s="291">
        <f>SUMIFS(DIÁRIO!$F$144:$F$249,DIÁRIO!$D$144:$D$249,BALANCETE!B128,DIÁRIO!$C$144:$C$249,BALANCETE!$B$134)</f>
        <v>0</v>
      </c>
      <c r="W128" s="291">
        <f t="shared" si="88"/>
        <v>2590</v>
      </c>
      <c r="X128" s="345"/>
      <c r="Y128" s="345"/>
    </row>
    <row r="129" spans="2:25" outlineLevel="1">
      <c r="B129" s="287" t="s">
        <v>586</v>
      </c>
      <c r="C129" s="288" t="s">
        <v>182</v>
      </c>
      <c r="F129" s="291">
        <v>0</v>
      </c>
      <c r="G129" s="291">
        <f>SUMIFS(DIÁRIO!$F$7:$F$63,DIÁRIO!$D$7:$D$63,BALANCETE!B129,DIÁRIO!$C$7:$C$63,BALANCETE!$B$133)</f>
        <v>0</v>
      </c>
      <c r="H129" s="291">
        <f>SUMIFS(DIÁRIO!$F$7:$F$63,DIÁRIO!$D$7:$D$63,BALANCETE!B129,DIÁRIO!$C$7:$C$63,BALANCETE!$B$134)</f>
        <v>0</v>
      </c>
      <c r="I129" s="291">
        <f t="shared" si="89"/>
        <v>0</v>
      </c>
      <c r="J129" s="345"/>
      <c r="K129" s="345"/>
      <c r="M129" s="291">
        <f t="shared" si="76"/>
        <v>0</v>
      </c>
      <c r="N129" s="291">
        <f>SUMIFS(DIÁRIO!$F$66:$F$141,DIÁRIO!$D$66:$D$141,BALANCETE!B129,DIÁRIO!$C$66:$C$141,BALANCETE!$B$133)</f>
        <v>0</v>
      </c>
      <c r="O129" s="291">
        <f>SUMIFS(DIÁRIO!$F$66:$F$141,DIÁRIO!$D$66:$D$141,BALANCETE!B129,DIÁRIO!$C$66:$C$141,BALANCETE!$B$134)</f>
        <v>0</v>
      </c>
      <c r="P129" s="291">
        <f t="shared" si="87"/>
        <v>0</v>
      </c>
      <c r="Q129" s="345"/>
      <c r="R129" s="345"/>
      <c r="T129" s="293">
        <f t="shared" si="58"/>
        <v>0</v>
      </c>
      <c r="U129" s="291">
        <f>SUMIFS(DIÁRIO!$F$144:$F$249,DIÁRIO!$D$144:$D$249,BALANCETE!B129,DIÁRIO!$C$144:$C$249,BALANCETE!$B$133)</f>
        <v>0</v>
      </c>
      <c r="V129" s="291">
        <f>SUMIFS(DIÁRIO!$F$144:$F$249,DIÁRIO!$D$144:$D$249,BALANCETE!B129,DIÁRIO!$C$144:$C$249,BALANCETE!$B$134)</f>
        <v>0</v>
      </c>
      <c r="W129" s="291">
        <f t="shared" si="88"/>
        <v>0</v>
      </c>
      <c r="X129" s="345"/>
      <c r="Y129" s="345"/>
    </row>
    <row r="130" spans="2:25">
      <c r="F130" s="292"/>
      <c r="G130" s="292"/>
      <c r="H130" s="292"/>
      <c r="I130" s="292"/>
    </row>
    <row r="131" spans="2:25" s="304" customFormat="1">
      <c r="B131" s="303"/>
      <c r="C131" s="281"/>
      <c r="F131" s="305"/>
      <c r="G131" s="305"/>
      <c r="H131" s="305"/>
      <c r="I131" s="306"/>
      <c r="J131" s="346"/>
      <c r="K131" s="346"/>
      <c r="M131" s="305"/>
      <c r="N131" s="305"/>
      <c r="O131" s="305"/>
      <c r="P131" s="305"/>
      <c r="Q131" s="346"/>
      <c r="R131" s="346"/>
      <c r="T131" s="305"/>
      <c r="U131" s="305"/>
      <c r="V131" s="305"/>
      <c r="W131" s="305"/>
      <c r="X131" s="346"/>
      <c r="Y131" s="346"/>
    </row>
    <row r="132" spans="2:25" s="304" customFormat="1">
      <c r="B132" s="295"/>
      <c r="C132" s="309" t="s">
        <v>652</v>
      </c>
      <c r="F132" s="305"/>
      <c r="G132" s="305"/>
      <c r="H132" s="305"/>
      <c r="I132" s="310">
        <f>I7-I46</f>
        <v>45595.859999999986</v>
      </c>
      <c r="J132" s="347"/>
      <c r="K132" s="347"/>
      <c r="M132" s="305"/>
      <c r="N132" s="305"/>
      <c r="O132" s="305"/>
      <c r="P132" s="310">
        <f>P7-P46</f>
        <v>118095.95000000001</v>
      </c>
      <c r="Q132" s="347"/>
      <c r="R132" s="347"/>
      <c r="T132" s="305"/>
      <c r="U132" s="305"/>
      <c r="V132" s="305"/>
      <c r="W132" s="310">
        <f>W7-W46</f>
        <v>89810.400000000023</v>
      </c>
      <c r="X132" s="347"/>
      <c r="Y132" s="347"/>
    </row>
    <row r="133" spans="2:25" s="304" customFormat="1">
      <c r="B133" s="276" t="s">
        <v>184</v>
      </c>
      <c r="C133" s="281"/>
      <c r="F133" s="305"/>
      <c r="G133" s="305"/>
      <c r="H133" s="305"/>
      <c r="I133" s="305"/>
      <c r="J133" s="348"/>
      <c r="K133" s="348"/>
      <c r="M133" s="305"/>
      <c r="N133" s="305"/>
      <c r="O133" s="305"/>
      <c r="P133" s="305"/>
      <c r="Q133" s="348"/>
      <c r="R133" s="348"/>
      <c r="T133" s="305"/>
      <c r="U133" s="305"/>
      <c r="V133" s="305"/>
      <c r="W133" s="305"/>
      <c r="X133" s="348"/>
      <c r="Y133" s="348"/>
    </row>
    <row r="134" spans="2:25" s="304" customFormat="1">
      <c r="B134" s="277" t="s">
        <v>185</v>
      </c>
      <c r="C134" s="281"/>
      <c r="F134" s="305"/>
      <c r="G134" s="305"/>
      <c r="H134" s="305"/>
      <c r="I134" s="305"/>
      <c r="J134" s="348"/>
      <c r="K134" s="348"/>
      <c r="M134" s="305"/>
      <c r="N134" s="305"/>
      <c r="O134" s="305"/>
      <c r="P134" s="305"/>
      <c r="Q134" s="348"/>
      <c r="R134" s="348"/>
      <c r="T134" s="305"/>
      <c r="U134" s="305"/>
      <c r="V134" s="305"/>
      <c r="W134" s="305"/>
      <c r="X134" s="348"/>
      <c r="Y134" s="348"/>
    </row>
    <row r="135" spans="2:25" s="304" customFormat="1">
      <c r="B135" s="295"/>
      <c r="C135" s="281"/>
      <c r="F135" s="305"/>
      <c r="G135" s="305"/>
      <c r="H135" s="305"/>
      <c r="I135" s="305"/>
      <c r="J135" s="348"/>
      <c r="K135" s="348"/>
      <c r="M135" s="305"/>
      <c r="N135" s="305"/>
      <c r="O135" s="305"/>
      <c r="P135" s="305"/>
      <c r="Q135" s="348"/>
      <c r="R135" s="348"/>
      <c r="T135" s="305"/>
      <c r="U135" s="305"/>
      <c r="V135" s="305"/>
      <c r="W135" s="305"/>
      <c r="X135" s="348"/>
      <c r="Y135" s="348"/>
    </row>
    <row r="136" spans="2:25" s="304" customFormat="1">
      <c r="B136" s="303"/>
      <c r="F136" s="305"/>
      <c r="G136" s="305"/>
      <c r="H136" s="305"/>
      <c r="I136" s="305"/>
      <c r="J136" s="348"/>
      <c r="K136" s="348"/>
      <c r="M136" s="305"/>
      <c r="N136" s="305"/>
      <c r="O136" s="305"/>
      <c r="P136" s="306"/>
      <c r="Q136" s="348"/>
      <c r="R136" s="348"/>
      <c r="T136" s="305"/>
      <c r="U136" s="305"/>
      <c r="V136" s="305"/>
      <c r="W136" s="306"/>
      <c r="X136" s="348"/>
      <c r="Y136" s="348"/>
    </row>
    <row r="137" spans="2:25" s="304" customFormat="1">
      <c r="B137" s="303"/>
      <c r="F137" s="305"/>
      <c r="G137" s="305"/>
      <c r="H137" s="305"/>
      <c r="I137" s="305"/>
      <c r="J137" s="348"/>
      <c r="K137" s="348"/>
      <c r="M137" s="305"/>
      <c r="N137" s="305"/>
      <c r="O137" s="305"/>
      <c r="P137" s="305"/>
      <c r="Q137" s="348"/>
      <c r="R137" s="348"/>
      <c r="T137" s="305"/>
      <c r="U137" s="305"/>
      <c r="V137" s="305"/>
      <c r="W137" s="305"/>
      <c r="X137" s="348"/>
      <c r="Y137" s="348"/>
    </row>
    <row r="138" spans="2:25" s="304" customFormat="1">
      <c r="B138" s="303"/>
      <c r="F138" s="305"/>
      <c r="G138" s="305"/>
      <c r="H138" s="305"/>
      <c r="I138" s="305"/>
      <c r="J138" s="348"/>
      <c r="K138" s="348"/>
      <c r="M138" s="305"/>
      <c r="N138" s="305"/>
      <c r="O138" s="305"/>
      <c r="P138" s="305"/>
      <c r="Q138" s="348"/>
      <c r="R138" s="348"/>
      <c r="T138" s="305"/>
      <c r="U138" s="305"/>
      <c r="V138" s="305"/>
      <c r="W138" s="305"/>
      <c r="X138" s="348"/>
      <c r="Y138" s="348"/>
    </row>
    <row r="141" spans="2:25">
      <c r="N141" s="312"/>
    </row>
  </sheetData>
  <mergeCells count="4">
    <mergeCell ref="B3:C3"/>
    <mergeCell ref="F3:K3"/>
    <mergeCell ref="M3:R3"/>
    <mergeCell ref="T3:Y3"/>
  </mergeCells>
  <phoneticPr fontId="3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I50"/>
  <sheetViews>
    <sheetView showGridLines="0" showRowColHeaders="0" zoomScale="110" zoomScaleNormal="110" workbookViewId="0">
      <pane ySplit="5" topLeftCell="A6" activePane="bottomLeft" state="frozen"/>
      <selection pane="bottomLeft"/>
    </sheetView>
  </sheetViews>
  <sheetFormatPr defaultColWidth="9.109375" defaultRowHeight="15.6"/>
  <cols>
    <col min="1" max="1" width="4" style="319" customWidth="1"/>
    <col min="2" max="2" width="38" style="319" customWidth="1"/>
    <col min="3" max="3" width="15.88671875" style="329" bestFit="1" customWidth="1"/>
    <col min="4" max="4" width="15.88671875" style="329" customWidth="1"/>
    <col min="5" max="5" width="43.5546875" style="319" customWidth="1"/>
    <col min="6" max="7" width="15.88671875" style="319" bestFit="1" customWidth="1"/>
    <col min="8" max="16384" width="9.109375" style="319"/>
  </cols>
  <sheetData>
    <row r="3" spans="2:9" ht="25.5" customHeight="1">
      <c r="B3" s="464" t="s">
        <v>282</v>
      </c>
      <c r="C3" s="465"/>
      <c r="D3" s="465"/>
      <c r="E3" s="465"/>
      <c r="F3" s="465"/>
      <c r="G3" s="465"/>
    </row>
    <row r="4" spans="2:9" ht="3.75" customHeight="1">
      <c r="B4" s="463"/>
      <c r="C4" s="463"/>
      <c r="D4" s="463"/>
      <c r="E4" s="463"/>
    </row>
    <row r="5" spans="2:9" ht="15.75" customHeight="1">
      <c r="B5" s="320"/>
      <c r="C5" s="321">
        <v>2023</v>
      </c>
      <c r="D5" s="321">
        <v>2022</v>
      </c>
      <c r="E5" s="320"/>
      <c r="F5" s="321">
        <v>2023</v>
      </c>
      <c r="G5" s="321">
        <v>2022</v>
      </c>
    </row>
    <row r="6" spans="2:9" ht="3" customHeight="1">
      <c r="B6" s="320"/>
      <c r="C6" s="322"/>
      <c r="D6" s="322"/>
      <c r="E6" s="320"/>
      <c r="F6" s="322"/>
      <c r="G6" s="322"/>
    </row>
    <row r="7" spans="2:9">
      <c r="B7" s="323" t="s">
        <v>2</v>
      </c>
      <c r="C7" s="324">
        <f>IFERROR(VLOOKUP(B7,BALANCETE!$C$7:$W$132,21,0),"")</f>
        <v>418516.27500000002</v>
      </c>
      <c r="D7" s="324">
        <v>0</v>
      </c>
      <c r="E7" s="323" t="s">
        <v>63</v>
      </c>
      <c r="F7" s="324">
        <f>IFERROR(VLOOKUP(E7,BALANCETE!$C$7:$W$132,21,0),"")</f>
        <v>328705.875</v>
      </c>
      <c r="G7" s="324">
        <v>0</v>
      </c>
    </row>
    <row r="8" spans="2:9">
      <c r="B8" s="323" t="s">
        <v>4</v>
      </c>
      <c r="C8" s="324">
        <f>IFERROR(VLOOKUP(B8,BALANCETE!$C$7:$W$132,21,0),"")</f>
        <v>411296.875</v>
      </c>
      <c r="D8" s="324">
        <v>0</v>
      </c>
      <c r="E8" s="323" t="s">
        <v>65</v>
      </c>
      <c r="F8" s="324">
        <f>IFERROR(VLOOKUP(E8,BALANCETE!$C$7:$W$132,21,0),"")</f>
        <v>228705.875</v>
      </c>
      <c r="G8" s="324">
        <v>0</v>
      </c>
    </row>
    <row r="9" spans="2:9">
      <c r="B9" s="325" t="s">
        <v>639</v>
      </c>
      <c r="C9" s="324">
        <f>IFERROR(VLOOKUP(B9,BALANCETE!$C$7:$W$132,21,0),"")</f>
        <v>117000</v>
      </c>
      <c r="D9" s="330">
        <v>0</v>
      </c>
      <c r="E9" s="325" t="s">
        <v>67</v>
      </c>
      <c r="F9" s="324">
        <f>IFERROR(VLOOKUP(E9,BALANCETE!$C$7:$W$132,21,0),"")</f>
        <v>190000</v>
      </c>
      <c r="G9" s="330">
        <v>0</v>
      </c>
    </row>
    <row r="10" spans="2:9">
      <c r="B10" s="325" t="s">
        <v>640</v>
      </c>
      <c r="C10" s="324">
        <f>IFERROR(VLOOKUP(B10,BALANCETE!$C$7:$W$132,21,0),"")</f>
        <v>160617.5</v>
      </c>
      <c r="D10" s="330">
        <v>0</v>
      </c>
      <c r="E10" s="325" t="s">
        <v>71</v>
      </c>
      <c r="F10" s="324">
        <f>IFERROR(VLOOKUP(E10,BALANCETE!$C$7:$W$132,21,0),"")</f>
        <v>0</v>
      </c>
      <c r="G10" s="330">
        <v>0</v>
      </c>
    </row>
    <row r="11" spans="2:9">
      <c r="B11" s="325" t="s">
        <v>17</v>
      </c>
      <c r="C11" s="324">
        <f>IFERROR(VLOOKUP(B11,BALANCETE!$C$7:$W$132,21,0),"")</f>
        <v>122850</v>
      </c>
      <c r="D11" s="330">
        <v>0</v>
      </c>
      <c r="E11" s="325" t="s">
        <v>77</v>
      </c>
      <c r="F11" s="324">
        <f>IFERROR(VLOOKUP(E11,BALANCETE!$C$7:$W$132,21,0),"")</f>
        <v>27008.875</v>
      </c>
      <c r="G11" s="330">
        <v>0</v>
      </c>
    </row>
    <row r="12" spans="2:9">
      <c r="B12" s="325" t="s">
        <v>25</v>
      </c>
      <c r="C12" s="324">
        <f>IFERROR(VLOOKUP(B12,BALANCETE!$C$7:$W$132,21,0),"")</f>
        <v>10829.375</v>
      </c>
      <c r="D12" s="330">
        <v>0</v>
      </c>
      <c r="E12" s="325" t="s">
        <v>84</v>
      </c>
      <c r="F12" s="324">
        <f>IFERROR(VLOOKUP(E12,BALANCETE!$C$7:$W$132,21,0),"")</f>
        <v>5697</v>
      </c>
      <c r="G12" s="330">
        <v>0</v>
      </c>
    </row>
    <row r="13" spans="2:9">
      <c r="B13" s="325"/>
      <c r="C13" s="324" t="str">
        <f>IFERROR(VLOOKUP(B13,BALANCETE!$C$7:$W$132,21,0),"")</f>
        <v/>
      </c>
      <c r="D13" s="324"/>
      <c r="E13" s="325" t="s">
        <v>90</v>
      </c>
      <c r="F13" s="324">
        <f>IFERROR(VLOOKUP(E13,BALANCETE!$C$7:$W$132,21,0),"")</f>
        <v>6000</v>
      </c>
      <c r="G13" s="330">
        <v>0</v>
      </c>
    </row>
    <row r="14" spans="2:9">
      <c r="B14" s="325"/>
      <c r="C14" s="324" t="str">
        <f>IFERROR(VLOOKUP(B14,BALANCETE!$C$7:$W$132,21,0),"")</f>
        <v/>
      </c>
      <c r="D14" s="324"/>
      <c r="E14" s="325" t="s">
        <v>98</v>
      </c>
      <c r="F14" s="324">
        <f>IFERROR(VLOOKUP(E14,BALANCETE!$C$7:$W$132,21,0),"")</f>
        <v>0</v>
      </c>
      <c r="G14" s="330">
        <v>0</v>
      </c>
      <c r="I14" s="403"/>
    </row>
    <row r="15" spans="2:9">
      <c r="B15" s="323" t="s">
        <v>32</v>
      </c>
      <c r="C15" s="324">
        <f>IFERROR(VLOOKUP(B15,BALANCETE!$C$7:$W$132,21,0),"")</f>
        <v>7219.4</v>
      </c>
      <c r="D15" s="324">
        <v>0</v>
      </c>
      <c r="E15" s="325"/>
      <c r="F15" s="324" t="str">
        <f>IFERROR(VLOOKUP(E15,BALANCETE!$C$7:$W$132,21,0),"")</f>
        <v/>
      </c>
      <c r="G15" s="324"/>
    </row>
    <row r="16" spans="2:9">
      <c r="B16" s="323" t="s">
        <v>34</v>
      </c>
      <c r="C16" s="324">
        <f>IFERROR(VLOOKUP(B16,BALANCETE!$C$7:$W$132,21,0),"")</f>
        <v>0</v>
      </c>
      <c r="D16" s="324">
        <v>0</v>
      </c>
      <c r="E16" s="323" t="s">
        <v>106</v>
      </c>
      <c r="F16" s="324">
        <f>IFERROR(VLOOKUP(E16,BALANCETE!$C$7:$W$132,21,0),"")</f>
        <v>0</v>
      </c>
      <c r="G16" s="324">
        <v>0</v>
      </c>
    </row>
    <row r="17" spans="2:9">
      <c r="B17" s="325" t="s">
        <v>38</v>
      </c>
      <c r="C17" s="324">
        <f>IFERROR(VLOOKUP(B17,BALANCETE!$C$7:$W$132,21,0),"")</f>
        <v>0</v>
      </c>
      <c r="D17" s="330">
        <v>0</v>
      </c>
      <c r="E17" s="325" t="s">
        <v>75</v>
      </c>
      <c r="F17" s="324">
        <f>IFERROR(VLOOKUP(E17,BALANCETE!$C$7:$W$132,21,0),"")</f>
        <v>0</v>
      </c>
      <c r="G17" s="330">
        <v>0</v>
      </c>
    </row>
    <row r="18" spans="2:9">
      <c r="B18" s="325" t="s">
        <v>44</v>
      </c>
      <c r="C18" s="324">
        <f>IFERROR(VLOOKUP(B18,BALANCETE!$C$7:$W$132,21,0),"")</f>
        <v>7219.4</v>
      </c>
      <c r="D18" s="330">
        <v>0</v>
      </c>
      <c r="E18" s="325" t="s">
        <v>111</v>
      </c>
      <c r="F18" s="324">
        <f>IFERROR(VLOOKUP(E18,BALANCETE!$C$7:$W$132,21,0),"")</f>
        <v>0</v>
      </c>
      <c r="G18" s="330">
        <v>0</v>
      </c>
      <c r="I18" s="403"/>
    </row>
    <row r="19" spans="2:9">
      <c r="B19" s="325" t="s">
        <v>58</v>
      </c>
      <c r="C19" s="324">
        <f>IFERROR(VLOOKUP(B19,BALANCETE!$C$7:$W$132,21,0),"")</f>
        <v>0</v>
      </c>
      <c r="D19" s="330">
        <v>0</v>
      </c>
      <c r="E19" s="323"/>
      <c r="F19" s="324" t="str">
        <f>IFERROR(VLOOKUP(E19,BALANCETE!$C$7:$W$132,21,0),"")</f>
        <v/>
      </c>
      <c r="G19" s="324">
        <v>0</v>
      </c>
    </row>
    <row r="20" spans="2:9">
      <c r="B20" s="325"/>
      <c r="C20" s="330" t="str">
        <f>IFERROR(VLOOKUP(B20,BALANCETE!$C$7:$W$132,17,0),"")</f>
        <v/>
      </c>
      <c r="D20" s="330"/>
      <c r="E20" s="323" t="s">
        <v>115</v>
      </c>
      <c r="F20" s="324">
        <f>IFERROR(VLOOKUP(E20,BALANCETE!$C$7:$W$132,21,0),"")</f>
        <v>100000</v>
      </c>
      <c r="G20" s="324">
        <v>0</v>
      </c>
      <c r="I20" s="403"/>
    </row>
    <row r="21" spans="2:9">
      <c r="B21" s="326"/>
      <c r="C21" s="324" t="str">
        <f>IFERROR(VLOOKUP(B21,BALANCETE!$C$7:$W$132,17,0),"")</f>
        <v/>
      </c>
      <c r="D21" s="330"/>
      <c r="E21" s="325" t="s">
        <v>117</v>
      </c>
      <c r="F21" s="324">
        <f>IFERROR(VLOOKUP(E21,BALANCETE!$C$7:$W$132,21,0),"")</f>
        <v>100000</v>
      </c>
      <c r="G21" s="330">
        <v>0</v>
      </c>
    </row>
    <row r="22" spans="2:9">
      <c r="B22" s="326"/>
      <c r="C22" s="324" t="str">
        <f>IFERROR(VLOOKUP(B22,BALANCETE!$C$7:$W$132,17,0),"")</f>
        <v/>
      </c>
      <c r="D22" s="330"/>
      <c r="E22" s="325" t="s">
        <v>123</v>
      </c>
      <c r="F22" s="324">
        <f>IFERROR(VLOOKUP(E22,BALANCETE!$C$7:$W$132,21,0),"")</f>
        <v>0</v>
      </c>
      <c r="G22" s="330">
        <v>0</v>
      </c>
    </row>
    <row r="23" spans="2:9">
      <c r="B23" s="325"/>
      <c r="C23" s="324" t="str">
        <f>IFERROR(VLOOKUP(B23,BALANCETE!$C$7:$W$132,17,0),"")</f>
        <v/>
      </c>
      <c r="D23" s="330"/>
      <c r="E23" s="325" t="s">
        <v>129</v>
      </c>
      <c r="F23" s="324">
        <f>DRE!C21</f>
        <v>89810.4</v>
      </c>
      <c r="G23" s="330">
        <v>0</v>
      </c>
    </row>
    <row r="24" spans="2:9">
      <c r="B24" s="325"/>
      <c r="C24" s="324" t="str">
        <f>IFERROR(VLOOKUP(B24,BALANCETE!$C$7:$W$132,17,0),"")</f>
        <v/>
      </c>
      <c r="D24" s="330"/>
      <c r="E24" s="325"/>
      <c r="F24" s="324" t="str">
        <f>IFERROR(VLOOKUP(E24,BALANCETE!$C$7:$W$132,21,0),"")</f>
        <v/>
      </c>
      <c r="G24" s="324"/>
    </row>
    <row r="25" spans="2:9">
      <c r="B25" s="325"/>
      <c r="C25" s="324" t="str">
        <f>IFERROR(VLOOKUP(B25,BALANCETE!$C$7:$W$132,17,0),"")</f>
        <v/>
      </c>
      <c r="D25" s="330"/>
      <c r="E25" s="325"/>
      <c r="F25" s="324" t="str">
        <f>IFERROR(VLOOKUP(E25,BALANCETE!$C$7:$W$132,21,0),"")</f>
        <v/>
      </c>
      <c r="G25" s="324"/>
    </row>
    <row r="26" spans="2:9">
      <c r="B26" s="327" t="s">
        <v>200</v>
      </c>
      <c r="C26" s="328">
        <f>C7</f>
        <v>418516.27500000002</v>
      </c>
      <c r="D26" s="328"/>
      <c r="E26" s="327" t="s">
        <v>200</v>
      </c>
      <c r="F26" s="328">
        <f>F7+F23</f>
        <v>418516.27500000002</v>
      </c>
      <c r="G26" s="328">
        <f>G7</f>
        <v>0</v>
      </c>
    </row>
    <row r="30" spans="2:9">
      <c r="B30" s="397" t="s">
        <v>832</v>
      </c>
      <c r="D30" s="399" t="s">
        <v>848</v>
      </c>
    </row>
    <row r="32" spans="2:9">
      <c r="B32" s="319" t="s">
        <v>833</v>
      </c>
      <c r="C32" s="329">
        <f>(C8+C15)/(F8+F16)</f>
        <v>1.8299323312092444</v>
      </c>
      <c r="D32" s="329" t="s">
        <v>837</v>
      </c>
    </row>
    <row r="34" spans="2:4">
      <c r="B34" s="319" t="s">
        <v>834</v>
      </c>
      <c r="C34" s="329">
        <f>C8/F8</f>
        <v>1.7983660236100187</v>
      </c>
      <c r="D34" s="329" t="s">
        <v>838</v>
      </c>
    </row>
    <row r="36" spans="2:4">
      <c r="B36" s="319" t="s">
        <v>835</v>
      </c>
      <c r="C36" s="329">
        <f>(C8-C11)/F8</f>
        <v>1.261213228562668</v>
      </c>
      <c r="D36" s="329" t="s">
        <v>839</v>
      </c>
    </row>
    <row r="38" spans="2:4">
      <c r="B38" s="319" t="s">
        <v>836</v>
      </c>
      <c r="C38" s="329">
        <f>C9/F8</f>
        <v>0.51157409052128633</v>
      </c>
      <c r="D38" s="329" t="s">
        <v>840</v>
      </c>
    </row>
    <row r="41" spans="2:4">
      <c r="B41" s="397" t="s">
        <v>841</v>
      </c>
      <c r="D41" s="399" t="s">
        <v>849</v>
      </c>
    </row>
    <row r="43" spans="2:4">
      <c r="B43" s="398" t="s">
        <v>842</v>
      </c>
      <c r="C43" s="329">
        <f>(F8+F16)/F20</f>
        <v>2.2870587499999999</v>
      </c>
      <c r="D43" s="329" t="s">
        <v>845</v>
      </c>
    </row>
    <row r="44" spans="2:4">
      <c r="B44" s="398"/>
    </row>
    <row r="45" spans="2:4">
      <c r="B45" s="398" t="s">
        <v>843</v>
      </c>
      <c r="C45" s="329">
        <f>(F8+F16)/F26</f>
        <v>0.54646829445282619</v>
      </c>
      <c r="D45" s="329" t="s">
        <v>846</v>
      </c>
    </row>
    <row r="46" spans="2:4">
      <c r="B46" s="398"/>
    </row>
    <row r="47" spans="2:4">
      <c r="B47" s="398" t="s">
        <v>844</v>
      </c>
      <c r="C47" s="329">
        <f>F8/(F8+F16)</f>
        <v>1</v>
      </c>
      <c r="D47" s="329" t="s">
        <v>847</v>
      </c>
    </row>
    <row r="48" spans="2:4">
      <c r="B48" s="398"/>
    </row>
    <row r="49" spans="2:2">
      <c r="B49" s="398"/>
    </row>
    <row r="50" spans="2:2">
      <c r="B50" s="398"/>
    </row>
  </sheetData>
  <mergeCells count="2">
    <mergeCell ref="B4:E4"/>
    <mergeCell ref="B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23"/>
  <sheetViews>
    <sheetView showGridLines="0" showRowColHeaders="0" zoomScale="90" zoomScaleNormal="90" workbookViewId="0">
      <pane ySplit="4" topLeftCell="A5" activePane="bottomLeft" state="frozen"/>
      <selection pane="bottomLeft"/>
    </sheetView>
  </sheetViews>
  <sheetFormatPr defaultColWidth="12.109375" defaultRowHeight="13.8"/>
  <cols>
    <col min="1" max="1" width="12.109375" style="1"/>
    <col min="2" max="2" width="91.33203125" style="1" bestFit="1" customWidth="1"/>
    <col min="3" max="4" width="23.33203125" style="19" customWidth="1"/>
    <col min="5" max="16384" width="12.109375" style="1"/>
  </cols>
  <sheetData>
    <row r="1" spans="2:8" s="2" customFormat="1">
      <c r="C1" s="36"/>
      <c r="D1" s="36"/>
    </row>
    <row r="2" spans="2:8" ht="14.4" thickBot="1"/>
    <row r="3" spans="2:8" ht="16.2" thickBot="1">
      <c r="B3" s="18" t="s">
        <v>199</v>
      </c>
      <c r="C3" s="41" t="s">
        <v>681</v>
      </c>
      <c r="D3" s="41" t="s">
        <v>682</v>
      </c>
    </row>
    <row r="4" spans="2:8" ht="4.2" customHeight="1">
      <c r="B4" s="53"/>
      <c r="C4" s="54"/>
      <c r="D4" s="54"/>
    </row>
    <row r="5" spans="2:8" ht="7.2" customHeight="1">
      <c r="B5" s="53"/>
      <c r="C5" s="54"/>
      <c r="D5" s="54"/>
    </row>
    <row r="6" spans="2:8" ht="17.399999999999999">
      <c r="B6" s="285" t="s">
        <v>134</v>
      </c>
      <c r="C6" s="324">
        <f>IFERROR(VLOOKUP(B6,BALANCETE!$C$7:$W$130,21,0),"")</f>
        <v>89810.4</v>
      </c>
      <c r="D6" s="331">
        <v>0</v>
      </c>
    </row>
    <row r="7" spans="2:8" ht="17.399999999999999">
      <c r="B7" s="285" t="s">
        <v>136</v>
      </c>
      <c r="C7" s="324">
        <f>IFERROR(VLOOKUP(B7,BALANCETE!$C$7:$W$130,21,0),"")</f>
        <v>175259</v>
      </c>
      <c r="D7" s="331">
        <v>0</v>
      </c>
    </row>
    <row r="8" spans="2:8" ht="17.399999999999999">
      <c r="B8" s="288" t="s">
        <v>138</v>
      </c>
      <c r="C8" s="330">
        <f>IFERROR(VLOOKUP(B8,BALANCETE!$C$7:$W$130,21,0),"")</f>
        <v>214000</v>
      </c>
      <c r="D8" s="331">
        <v>0</v>
      </c>
      <c r="H8" s="3"/>
    </row>
    <row r="9" spans="2:8" ht="17.399999999999999">
      <c r="B9" s="288" t="s">
        <v>147</v>
      </c>
      <c r="C9" s="330">
        <f>IFERROR(VLOOKUP(B9,BALANCETE!$C$7:$W$130,21,0),"")</f>
        <v>500</v>
      </c>
      <c r="D9" s="331">
        <v>0</v>
      </c>
      <c r="F9" s="400" t="s">
        <v>850</v>
      </c>
      <c r="G9" s="400"/>
      <c r="H9" s="401">
        <f>C8/C21</f>
        <v>2.3827975379243385</v>
      </c>
    </row>
    <row r="10" spans="2:8" ht="17.399999999999999">
      <c r="B10" s="288" t="s">
        <v>153</v>
      </c>
      <c r="C10" s="330">
        <f>IFERROR(VLOOKUP(B10,BALANCETE!$C$7:$W$130,21,0),"")</f>
        <v>0</v>
      </c>
      <c r="D10" s="331">
        <v>0</v>
      </c>
      <c r="F10" s="400" t="s">
        <v>851</v>
      </c>
      <c r="G10" s="400"/>
      <c r="H10" s="402"/>
    </row>
    <row r="11" spans="2:8" ht="15.6">
      <c r="B11" s="331"/>
      <c r="C11" s="324" t="str">
        <f>IFERROR(VLOOKUP(B11,BALANCETE!$C$7:$W$130,21,0),"")</f>
        <v/>
      </c>
      <c r="D11" s="331"/>
      <c r="F11" s="400"/>
      <c r="G11" s="400"/>
      <c r="H11" s="402"/>
    </row>
    <row r="12" spans="2:8" ht="15.6">
      <c r="B12" s="331"/>
      <c r="C12" s="324" t="str">
        <f>IFERROR(VLOOKUP(B12,BALANCETE!$C$7:$W$130,21,0),"")</f>
        <v/>
      </c>
      <c r="D12" s="331"/>
      <c r="F12" s="400" t="s">
        <v>852</v>
      </c>
      <c r="G12" s="400"/>
      <c r="H12" s="401">
        <f>C7/C21</f>
        <v>1.9514332415844937</v>
      </c>
    </row>
    <row r="13" spans="2:8" ht="17.399999999999999">
      <c r="B13" s="285" t="s">
        <v>161</v>
      </c>
      <c r="C13" s="324">
        <f>IFERROR(VLOOKUP(B13,BALANCETE!$C$7:$W$130,21,0),"")</f>
        <v>85448.6</v>
      </c>
      <c r="D13" s="331">
        <v>0</v>
      </c>
      <c r="F13" s="400" t="s">
        <v>853</v>
      </c>
      <c r="G13" s="400"/>
      <c r="H13" s="402"/>
    </row>
    <row r="14" spans="2:8" ht="17.399999999999999">
      <c r="B14" s="288" t="s">
        <v>163</v>
      </c>
      <c r="C14" s="330">
        <f>IFERROR(VLOOKUP(B14,BALANCETE!$C$7:$W$130,21,0),"")</f>
        <v>59400</v>
      </c>
      <c r="D14" s="331">
        <v>0</v>
      </c>
      <c r="F14" s="400"/>
      <c r="G14" s="400"/>
      <c r="H14" s="402"/>
    </row>
    <row r="15" spans="2:8" ht="17.399999999999999">
      <c r="B15" s="288" t="s">
        <v>169</v>
      </c>
      <c r="C15" s="330">
        <f>IFERROR(VLOOKUP(B15,BALANCETE!$C$7:$W$130,21,0),"")</f>
        <v>5050.6000000000004</v>
      </c>
      <c r="D15" s="331">
        <v>0</v>
      </c>
    </row>
    <row r="16" spans="2:8" ht="17.399999999999999">
      <c r="B16" s="288" t="s">
        <v>171</v>
      </c>
      <c r="C16" s="330">
        <f>IFERROR(VLOOKUP(B16,BALANCETE!$C$7:$W$130,21,0),"")</f>
        <v>14938</v>
      </c>
      <c r="D16" s="331">
        <v>0</v>
      </c>
    </row>
    <row r="17" spans="2:6" ht="17.399999999999999">
      <c r="B17" s="288" t="s">
        <v>175</v>
      </c>
      <c r="C17" s="330">
        <f>IFERROR(VLOOKUP(B17,BALANCETE!$C$7:$W$130,21,0),"")</f>
        <v>359</v>
      </c>
      <c r="D17" s="331">
        <v>0</v>
      </c>
    </row>
    <row r="18" spans="2:6" ht="17.399999999999999">
      <c r="B18" s="288" t="s">
        <v>670</v>
      </c>
      <c r="C18" s="330">
        <f>IFERROR(VLOOKUP(B18,BALANCETE!$C$7:$W$130,21,0),"")</f>
        <v>5701</v>
      </c>
      <c r="D18" s="331">
        <v>0</v>
      </c>
    </row>
    <row r="19" spans="2:6" ht="15.6">
      <c r="B19" s="21"/>
      <c r="C19" s="324" t="str">
        <f>IFERROR(VLOOKUP(B19,BALANCETE!$C$7:$W$130,21,0),"")</f>
        <v/>
      </c>
      <c r="D19" s="331"/>
    </row>
    <row r="20" spans="2:6" ht="15.6">
      <c r="B20" s="21"/>
      <c r="C20" s="324" t="str">
        <f>IFERROR(VLOOKUP(B20,BALANCETE!$C$7:$W$130,21,0),"")</f>
        <v/>
      </c>
      <c r="D20" s="331"/>
    </row>
    <row r="21" spans="2:6" ht="15.6">
      <c r="B21" s="332" t="s">
        <v>198</v>
      </c>
      <c r="C21" s="333">
        <f>C7-C13</f>
        <v>89810.4</v>
      </c>
      <c r="D21" s="333">
        <f>D7-D13</f>
        <v>0</v>
      </c>
    </row>
    <row r="23" spans="2:6">
      <c r="F23" s="400"/>
    </row>
  </sheetData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04B8-474E-4F9F-BAEA-2F3DF955B283}">
  <dimension ref="B1:AE31"/>
  <sheetViews>
    <sheetView showGridLines="0" showRowColHeaders="0" zoomScale="80" zoomScaleNormal="80" workbookViewId="0">
      <pane xSplit="42" ySplit="66" topLeftCell="AQ76" activePane="bottomRight" state="frozen"/>
      <selection pane="topRight" activeCell="AQ1" sqref="AQ1"/>
      <selection pane="bottomLeft" activeCell="A67" sqref="A67"/>
      <selection pane="bottomRight"/>
    </sheetView>
  </sheetViews>
  <sheetFormatPr defaultRowHeight="14.4"/>
  <cols>
    <col min="1" max="1" width="2.5546875" customWidth="1"/>
    <col min="3" max="3" width="7.5546875" style="26" customWidth="1"/>
    <col min="4" max="31" width="7" bestFit="1" customWidth="1"/>
  </cols>
  <sheetData>
    <row r="1" spans="2:31" ht="10.5" customHeight="1"/>
    <row r="2" spans="2:31" ht="32.4">
      <c r="B2" s="466" t="s">
        <v>245</v>
      </c>
      <c r="C2" s="467" t="s">
        <v>246</v>
      </c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67"/>
    </row>
    <row r="3" spans="2:31" s="26" customFormat="1" ht="17.399999999999999">
      <c r="B3" s="466"/>
      <c r="C3" s="55"/>
      <c r="D3" s="27" t="s">
        <v>247</v>
      </c>
      <c r="E3" s="27" t="s">
        <v>248</v>
      </c>
      <c r="F3" s="27" t="s">
        <v>249</v>
      </c>
      <c r="G3" s="27" t="s">
        <v>250</v>
      </c>
      <c r="H3" s="27" t="s">
        <v>251</v>
      </c>
      <c r="I3" s="27" t="s">
        <v>252</v>
      </c>
      <c r="J3" s="27" t="s">
        <v>253</v>
      </c>
      <c r="K3" s="27" t="s">
        <v>254</v>
      </c>
      <c r="L3" s="27" t="s">
        <v>255</v>
      </c>
      <c r="M3" s="27" t="s">
        <v>256</v>
      </c>
      <c r="N3" s="27" t="s">
        <v>257</v>
      </c>
      <c r="O3" s="27" t="s">
        <v>258</v>
      </c>
      <c r="P3" s="28" t="s">
        <v>259</v>
      </c>
      <c r="Q3" s="27" t="s">
        <v>260</v>
      </c>
      <c r="R3" s="27" t="s">
        <v>261</v>
      </c>
      <c r="S3" s="28" t="s">
        <v>262</v>
      </c>
      <c r="T3" s="27" t="s">
        <v>263</v>
      </c>
      <c r="U3" s="27" t="s">
        <v>264</v>
      </c>
      <c r="V3" s="27" t="s">
        <v>265</v>
      </c>
      <c r="W3" s="28" t="s">
        <v>266</v>
      </c>
      <c r="X3" s="28" t="s">
        <v>267</v>
      </c>
      <c r="Y3" s="27" t="s">
        <v>268</v>
      </c>
      <c r="Z3" s="27" t="s">
        <v>269</v>
      </c>
      <c r="AA3" s="28" t="s">
        <v>270</v>
      </c>
      <c r="AB3" s="28" t="s">
        <v>271</v>
      </c>
      <c r="AC3" s="27" t="s">
        <v>272</v>
      </c>
      <c r="AD3" s="27" t="s">
        <v>273</v>
      </c>
      <c r="AE3" s="27" t="s">
        <v>274</v>
      </c>
    </row>
    <row r="4" spans="2:31" ht="17.399999999999999">
      <c r="B4" s="466"/>
      <c r="C4" s="29" t="s">
        <v>247</v>
      </c>
      <c r="D4" s="30">
        <v>17</v>
      </c>
      <c r="E4" s="31">
        <v>12</v>
      </c>
      <c r="F4" s="31">
        <v>12</v>
      </c>
      <c r="G4" s="31">
        <v>12</v>
      </c>
      <c r="H4" s="31">
        <v>12</v>
      </c>
      <c r="I4" s="31">
        <v>12</v>
      </c>
      <c r="J4" s="31">
        <v>12</v>
      </c>
      <c r="K4" s="31">
        <v>12</v>
      </c>
      <c r="L4" s="31">
        <v>12</v>
      </c>
      <c r="M4" s="31">
        <v>12</v>
      </c>
      <c r="N4" s="31">
        <v>12</v>
      </c>
      <c r="O4" s="31">
        <v>12</v>
      </c>
      <c r="P4" s="31">
        <v>12</v>
      </c>
      <c r="Q4" s="31">
        <v>12</v>
      </c>
      <c r="R4" s="31">
        <v>12</v>
      </c>
      <c r="S4" s="31">
        <v>12</v>
      </c>
      <c r="T4" s="31">
        <v>12</v>
      </c>
      <c r="U4" s="31">
        <v>12</v>
      </c>
      <c r="V4" s="31">
        <v>12</v>
      </c>
      <c r="W4" s="31">
        <v>12</v>
      </c>
      <c r="X4" s="31">
        <v>12</v>
      </c>
      <c r="Y4" s="31">
        <v>12</v>
      </c>
      <c r="Z4" s="31">
        <v>12</v>
      </c>
      <c r="AA4" s="31">
        <v>12</v>
      </c>
      <c r="AB4" s="31">
        <v>12</v>
      </c>
      <c r="AC4" s="31">
        <v>12</v>
      </c>
      <c r="AD4" s="31">
        <v>12</v>
      </c>
      <c r="AE4" s="31">
        <v>4</v>
      </c>
    </row>
    <row r="5" spans="2:31" ht="17.399999999999999">
      <c r="B5" s="466"/>
      <c r="C5" s="29" t="s">
        <v>248</v>
      </c>
      <c r="D5" s="31">
        <v>12</v>
      </c>
      <c r="E5" s="30">
        <v>18</v>
      </c>
      <c r="F5" s="31">
        <v>12</v>
      </c>
      <c r="G5" s="31">
        <v>12</v>
      </c>
      <c r="H5" s="31">
        <v>12</v>
      </c>
      <c r="I5" s="31">
        <v>12</v>
      </c>
      <c r="J5" s="31">
        <v>12</v>
      </c>
      <c r="K5" s="31">
        <v>12</v>
      </c>
      <c r="L5" s="31">
        <v>12</v>
      </c>
      <c r="M5" s="31">
        <v>12</v>
      </c>
      <c r="N5" s="31">
        <v>12</v>
      </c>
      <c r="O5" s="31">
        <v>12</v>
      </c>
      <c r="P5" s="31">
        <v>12</v>
      </c>
      <c r="Q5" s="31">
        <v>12</v>
      </c>
      <c r="R5" s="31">
        <v>12</v>
      </c>
      <c r="S5" s="31">
        <v>12</v>
      </c>
      <c r="T5" s="31">
        <v>12</v>
      </c>
      <c r="U5" s="31">
        <v>12</v>
      </c>
      <c r="V5" s="31">
        <v>12</v>
      </c>
      <c r="W5" s="31">
        <v>12</v>
      </c>
      <c r="X5" s="31">
        <v>12</v>
      </c>
      <c r="Y5" s="31">
        <v>12</v>
      </c>
      <c r="Z5" s="31">
        <v>12</v>
      </c>
      <c r="AA5" s="31">
        <v>12</v>
      </c>
      <c r="AB5" s="31">
        <v>12</v>
      </c>
      <c r="AC5" s="31">
        <v>12</v>
      </c>
      <c r="AD5" s="31">
        <v>12</v>
      </c>
      <c r="AE5" s="31">
        <v>4</v>
      </c>
    </row>
    <row r="6" spans="2:31" ht="17.399999999999999">
      <c r="B6" s="466"/>
      <c r="C6" s="29" t="s">
        <v>249</v>
      </c>
      <c r="D6" s="31">
        <v>12</v>
      </c>
      <c r="E6" s="31">
        <v>12</v>
      </c>
      <c r="F6" s="30">
        <v>18</v>
      </c>
      <c r="G6" s="31">
        <v>12</v>
      </c>
      <c r="H6" s="31">
        <v>12</v>
      </c>
      <c r="I6" s="31">
        <v>12</v>
      </c>
      <c r="J6" s="31">
        <v>12</v>
      </c>
      <c r="K6" s="31">
        <v>12</v>
      </c>
      <c r="L6" s="31">
        <v>12</v>
      </c>
      <c r="M6" s="31">
        <v>12</v>
      </c>
      <c r="N6" s="31">
        <v>12</v>
      </c>
      <c r="O6" s="31">
        <v>12</v>
      </c>
      <c r="P6" s="31">
        <v>12</v>
      </c>
      <c r="Q6" s="31">
        <v>12</v>
      </c>
      <c r="R6" s="31">
        <v>12</v>
      </c>
      <c r="S6" s="31">
        <v>12</v>
      </c>
      <c r="T6" s="31">
        <v>12</v>
      </c>
      <c r="U6" s="31">
        <v>12</v>
      </c>
      <c r="V6" s="31">
        <v>12</v>
      </c>
      <c r="W6" s="31">
        <v>12</v>
      </c>
      <c r="X6" s="31">
        <v>12</v>
      </c>
      <c r="Y6" s="31">
        <v>12</v>
      </c>
      <c r="Z6" s="31">
        <v>12</v>
      </c>
      <c r="AA6" s="31">
        <v>12</v>
      </c>
      <c r="AB6" s="31">
        <v>12</v>
      </c>
      <c r="AC6" s="31">
        <v>12</v>
      </c>
      <c r="AD6" s="31">
        <v>12</v>
      </c>
      <c r="AE6" s="31">
        <v>4</v>
      </c>
    </row>
    <row r="7" spans="2:31" ht="17.399999999999999">
      <c r="B7" s="466"/>
      <c r="C7" s="29" t="s">
        <v>250</v>
      </c>
      <c r="D7" s="31">
        <v>12</v>
      </c>
      <c r="E7" s="31">
        <v>12</v>
      </c>
      <c r="F7" s="31">
        <v>12</v>
      </c>
      <c r="G7" s="30">
        <v>18</v>
      </c>
      <c r="H7" s="31">
        <v>12</v>
      </c>
      <c r="I7" s="31">
        <v>12</v>
      </c>
      <c r="J7" s="31">
        <v>12</v>
      </c>
      <c r="K7" s="31">
        <v>12</v>
      </c>
      <c r="L7" s="31">
        <v>12</v>
      </c>
      <c r="M7" s="31">
        <v>12</v>
      </c>
      <c r="N7" s="31">
        <v>12</v>
      </c>
      <c r="O7" s="31">
        <v>12</v>
      </c>
      <c r="P7" s="31">
        <v>12</v>
      </c>
      <c r="Q7" s="31">
        <v>12</v>
      </c>
      <c r="R7" s="31">
        <v>12</v>
      </c>
      <c r="S7" s="31">
        <v>12</v>
      </c>
      <c r="T7" s="31">
        <v>12</v>
      </c>
      <c r="U7" s="31">
        <v>12</v>
      </c>
      <c r="V7" s="31">
        <v>12</v>
      </c>
      <c r="W7" s="31">
        <v>12</v>
      </c>
      <c r="X7" s="31">
        <v>12</v>
      </c>
      <c r="Y7" s="31">
        <v>12</v>
      </c>
      <c r="Z7" s="31">
        <v>12</v>
      </c>
      <c r="AA7" s="31">
        <v>12</v>
      </c>
      <c r="AB7" s="31">
        <v>12</v>
      </c>
      <c r="AC7" s="31">
        <v>12</v>
      </c>
      <c r="AD7" s="31">
        <v>12</v>
      </c>
      <c r="AE7" s="31">
        <v>4</v>
      </c>
    </row>
    <row r="8" spans="2:31" ht="17.399999999999999">
      <c r="B8" s="466"/>
      <c r="C8" s="29" t="s">
        <v>251</v>
      </c>
      <c r="D8" s="31">
        <v>12</v>
      </c>
      <c r="E8" s="31">
        <v>12</v>
      </c>
      <c r="F8" s="31">
        <v>12</v>
      </c>
      <c r="G8" s="31">
        <v>12</v>
      </c>
      <c r="H8" s="30">
        <v>18</v>
      </c>
      <c r="I8" s="31">
        <v>12</v>
      </c>
      <c r="J8" s="31">
        <v>12</v>
      </c>
      <c r="K8" s="31">
        <v>12</v>
      </c>
      <c r="L8" s="31">
        <v>12</v>
      </c>
      <c r="M8" s="31">
        <v>12</v>
      </c>
      <c r="N8" s="31">
        <v>12</v>
      </c>
      <c r="O8" s="31">
        <v>12</v>
      </c>
      <c r="P8" s="31">
        <v>12</v>
      </c>
      <c r="Q8" s="31">
        <v>12</v>
      </c>
      <c r="R8" s="31">
        <v>12</v>
      </c>
      <c r="S8" s="31">
        <v>12</v>
      </c>
      <c r="T8" s="31">
        <v>12</v>
      </c>
      <c r="U8" s="31">
        <v>12</v>
      </c>
      <c r="V8" s="31">
        <v>12</v>
      </c>
      <c r="W8" s="31">
        <v>12</v>
      </c>
      <c r="X8" s="31">
        <v>12</v>
      </c>
      <c r="Y8" s="31">
        <v>12</v>
      </c>
      <c r="Z8" s="31">
        <v>12</v>
      </c>
      <c r="AA8" s="31">
        <v>12</v>
      </c>
      <c r="AB8" s="31">
        <v>12</v>
      </c>
      <c r="AC8" s="31">
        <v>12</v>
      </c>
      <c r="AD8" s="31">
        <v>12</v>
      </c>
      <c r="AE8" s="31">
        <v>4</v>
      </c>
    </row>
    <row r="9" spans="2:31" ht="17.399999999999999">
      <c r="B9" s="466"/>
      <c r="C9" s="29" t="s">
        <v>252</v>
      </c>
      <c r="D9" s="31">
        <v>12</v>
      </c>
      <c r="E9" s="31">
        <v>12</v>
      </c>
      <c r="F9" s="31">
        <v>12</v>
      </c>
      <c r="G9" s="31">
        <v>12</v>
      </c>
      <c r="H9" s="31">
        <v>12</v>
      </c>
      <c r="I9" s="30">
        <v>18</v>
      </c>
      <c r="J9" s="31">
        <v>12</v>
      </c>
      <c r="K9" s="31">
        <v>12</v>
      </c>
      <c r="L9" s="31">
        <v>12</v>
      </c>
      <c r="M9" s="31">
        <v>12</v>
      </c>
      <c r="N9" s="31">
        <v>12</v>
      </c>
      <c r="O9" s="31">
        <v>12</v>
      </c>
      <c r="P9" s="31">
        <v>12</v>
      </c>
      <c r="Q9" s="31">
        <v>12</v>
      </c>
      <c r="R9" s="31">
        <v>12</v>
      </c>
      <c r="S9" s="31">
        <v>12</v>
      </c>
      <c r="T9" s="31">
        <v>12</v>
      </c>
      <c r="U9" s="31">
        <v>12</v>
      </c>
      <c r="V9" s="31">
        <v>12</v>
      </c>
      <c r="W9" s="31">
        <v>12</v>
      </c>
      <c r="X9" s="31">
        <v>12</v>
      </c>
      <c r="Y9" s="31">
        <v>12</v>
      </c>
      <c r="Z9" s="31">
        <v>12</v>
      </c>
      <c r="AA9" s="31">
        <v>12</v>
      </c>
      <c r="AB9" s="31">
        <v>12</v>
      </c>
      <c r="AC9" s="31">
        <v>12</v>
      </c>
      <c r="AD9" s="31">
        <v>12</v>
      </c>
      <c r="AE9" s="31">
        <v>4</v>
      </c>
    </row>
    <row r="10" spans="2:31" ht="17.399999999999999">
      <c r="B10" s="466"/>
      <c r="C10" s="29" t="s">
        <v>253</v>
      </c>
      <c r="D10" s="31">
        <v>12</v>
      </c>
      <c r="E10" s="31">
        <v>12</v>
      </c>
      <c r="F10" s="31">
        <v>12</v>
      </c>
      <c r="G10" s="31">
        <v>12</v>
      </c>
      <c r="H10" s="31">
        <v>12</v>
      </c>
      <c r="I10" s="31">
        <v>12</v>
      </c>
      <c r="J10" s="30">
        <v>18</v>
      </c>
      <c r="K10" s="31">
        <v>12</v>
      </c>
      <c r="L10" s="31">
        <v>12</v>
      </c>
      <c r="M10" s="31">
        <v>12</v>
      </c>
      <c r="N10" s="31">
        <v>12</v>
      </c>
      <c r="O10" s="31">
        <v>12</v>
      </c>
      <c r="P10" s="31">
        <v>12</v>
      </c>
      <c r="Q10" s="31">
        <v>12</v>
      </c>
      <c r="R10" s="31">
        <v>12</v>
      </c>
      <c r="S10" s="31">
        <v>12</v>
      </c>
      <c r="T10" s="31">
        <v>12</v>
      </c>
      <c r="U10" s="31">
        <v>12</v>
      </c>
      <c r="V10" s="31">
        <v>12</v>
      </c>
      <c r="W10" s="31">
        <v>12</v>
      </c>
      <c r="X10" s="31">
        <v>12</v>
      </c>
      <c r="Y10" s="31">
        <v>12</v>
      </c>
      <c r="Z10" s="31">
        <v>12</v>
      </c>
      <c r="AA10" s="31">
        <v>12</v>
      </c>
      <c r="AB10" s="31">
        <v>12</v>
      </c>
      <c r="AC10" s="31">
        <v>12</v>
      </c>
      <c r="AD10" s="31">
        <v>12</v>
      </c>
      <c r="AE10" s="31">
        <v>4</v>
      </c>
    </row>
    <row r="11" spans="2:31" ht="17.399999999999999">
      <c r="B11" s="466"/>
      <c r="C11" s="29" t="s">
        <v>254</v>
      </c>
      <c r="D11" s="31">
        <v>12</v>
      </c>
      <c r="E11" s="31">
        <v>12</v>
      </c>
      <c r="F11" s="31">
        <v>12</v>
      </c>
      <c r="G11" s="31">
        <v>12</v>
      </c>
      <c r="H11" s="31">
        <v>12</v>
      </c>
      <c r="I11" s="31">
        <v>12</v>
      </c>
      <c r="J11" s="31">
        <v>12</v>
      </c>
      <c r="K11" s="30">
        <v>17</v>
      </c>
      <c r="L11" s="31">
        <v>12</v>
      </c>
      <c r="M11" s="31">
        <v>12</v>
      </c>
      <c r="N11" s="31">
        <v>12</v>
      </c>
      <c r="O11" s="31">
        <v>12</v>
      </c>
      <c r="P11" s="31">
        <v>12</v>
      </c>
      <c r="Q11" s="31">
        <v>12</v>
      </c>
      <c r="R11" s="31">
        <v>12</v>
      </c>
      <c r="S11" s="31">
        <v>12</v>
      </c>
      <c r="T11" s="31">
        <v>12</v>
      </c>
      <c r="U11" s="31">
        <v>12</v>
      </c>
      <c r="V11" s="31">
        <v>12</v>
      </c>
      <c r="W11" s="31">
        <v>12</v>
      </c>
      <c r="X11" s="31">
        <v>12</v>
      </c>
      <c r="Y11" s="31">
        <v>12</v>
      </c>
      <c r="Z11" s="31">
        <v>12</v>
      </c>
      <c r="AA11" s="31">
        <v>12</v>
      </c>
      <c r="AB11" s="31">
        <v>12</v>
      </c>
      <c r="AC11" s="31">
        <v>12</v>
      </c>
      <c r="AD11" s="31">
        <v>12</v>
      </c>
      <c r="AE11" s="31">
        <v>4</v>
      </c>
    </row>
    <row r="12" spans="2:31" ht="17.399999999999999">
      <c r="B12" s="466"/>
      <c r="C12" s="29" t="s">
        <v>255</v>
      </c>
      <c r="D12" s="31">
        <v>12</v>
      </c>
      <c r="E12" s="31">
        <v>12</v>
      </c>
      <c r="F12" s="31">
        <v>12</v>
      </c>
      <c r="G12" s="31">
        <v>12</v>
      </c>
      <c r="H12" s="31">
        <v>12</v>
      </c>
      <c r="I12" s="31">
        <v>12</v>
      </c>
      <c r="J12" s="31">
        <v>12</v>
      </c>
      <c r="K12" s="31">
        <v>12</v>
      </c>
      <c r="L12" s="30">
        <v>17</v>
      </c>
      <c r="M12" s="31">
        <v>12</v>
      </c>
      <c r="N12" s="31">
        <v>12</v>
      </c>
      <c r="O12" s="31">
        <v>12</v>
      </c>
      <c r="P12" s="31">
        <v>12</v>
      </c>
      <c r="Q12" s="31">
        <v>12</v>
      </c>
      <c r="R12" s="31">
        <v>12</v>
      </c>
      <c r="S12" s="31">
        <v>12</v>
      </c>
      <c r="T12" s="31">
        <v>12</v>
      </c>
      <c r="U12" s="31">
        <v>12</v>
      </c>
      <c r="V12" s="31">
        <v>12</v>
      </c>
      <c r="W12" s="31">
        <v>12</v>
      </c>
      <c r="X12" s="31">
        <v>12</v>
      </c>
      <c r="Y12" s="31">
        <v>12</v>
      </c>
      <c r="Z12" s="31">
        <v>12</v>
      </c>
      <c r="AA12" s="31">
        <v>12</v>
      </c>
      <c r="AB12" s="31">
        <v>12</v>
      </c>
      <c r="AC12" s="31">
        <v>12</v>
      </c>
      <c r="AD12" s="31">
        <v>12</v>
      </c>
      <c r="AE12" s="31">
        <v>4</v>
      </c>
    </row>
    <row r="13" spans="2:31" ht="17.399999999999999">
      <c r="B13" s="466"/>
      <c r="C13" s="29" t="s">
        <v>256</v>
      </c>
      <c r="D13" s="31">
        <v>12</v>
      </c>
      <c r="E13" s="31">
        <v>12</v>
      </c>
      <c r="F13" s="31">
        <v>12</v>
      </c>
      <c r="G13" s="31">
        <v>12</v>
      </c>
      <c r="H13" s="31">
        <v>12</v>
      </c>
      <c r="I13" s="31">
        <v>12</v>
      </c>
      <c r="J13" s="31">
        <v>12</v>
      </c>
      <c r="K13" s="31">
        <v>12</v>
      </c>
      <c r="L13" s="31">
        <v>12</v>
      </c>
      <c r="M13" s="30">
        <v>18</v>
      </c>
      <c r="N13" s="31">
        <v>12</v>
      </c>
      <c r="O13" s="31">
        <v>12</v>
      </c>
      <c r="P13" s="31">
        <v>12</v>
      </c>
      <c r="Q13" s="31">
        <v>12</v>
      </c>
      <c r="R13" s="31">
        <v>12</v>
      </c>
      <c r="S13" s="31">
        <v>12</v>
      </c>
      <c r="T13" s="31">
        <v>12</v>
      </c>
      <c r="U13" s="31">
        <v>12</v>
      </c>
      <c r="V13" s="31">
        <v>12</v>
      </c>
      <c r="W13" s="31">
        <v>12</v>
      </c>
      <c r="X13" s="31">
        <v>12</v>
      </c>
      <c r="Y13" s="31">
        <v>12</v>
      </c>
      <c r="Z13" s="31">
        <v>12</v>
      </c>
      <c r="AA13" s="31">
        <v>12</v>
      </c>
      <c r="AB13" s="31">
        <v>12</v>
      </c>
      <c r="AC13" s="31">
        <v>12</v>
      </c>
      <c r="AD13" s="31">
        <v>12</v>
      </c>
      <c r="AE13" s="31">
        <v>4</v>
      </c>
    </row>
    <row r="14" spans="2:31" ht="17.399999999999999">
      <c r="B14" s="466"/>
      <c r="C14" s="29" t="s">
        <v>257</v>
      </c>
      <c r="D14" s="31">
        <v>12</v>
      </c>
      <c r="E14" s="31">
        <v>12</v>
      </c>
      <c r="F14" s="31">
        <v>12</v>
      </c>
      <c r="G14" s="31">
        <v>12</v>
      </c>
      <c r="H14" s="31">
        <v>12</v>
      </c>
      <c r="I14" s="31">
        <v>12</v>
      </c>
      <c r="J14" s="31">
        <v>12</v>
      </c>
      <c r="K14" s="31">
        <v>12</v>
      </c>
      <c r="L14" s="31">
        <v>12</v>
      </c>
      <c r="M14" s="31">
        <v>12</v>
      </c>
      <c r="N14" s="30">
        <v>17</v>
      </c>
      <c r="O14" s="31">
        <v>12</v>
      </c>
      <c r="P14" s="31">
        <v>12</v>
      </c>
      <c r="Q14" s="31">
        <v>12</v>
      </c>
      <c r="R14" s="31">
        <v>12</v>
      </c>
      <c r="S14" s="31">
        <v>12</v>
      </c>
      <c r="T14" s="31">
        <v>12</v>
      </c>
      <c r="U14" s="31">
        <v>12</v>
      </c>
      <c r="V14" s="31">
        <v>12</v>
      </c>
      <c r="W14" s="31">
        <v>12</v>
      </c>
      <c r="X14" s="31">
        <v>12</v>
      </c>
      <c r="Y14" s="31">
        <v>12</v>
      </c>
      <c r="Z14" s="31">
        <v>12</v>
      </c>
      <c r="AA14" s="31">
        <v>12</v>
      </c>
      <c r="AB14" s="31">
        <v>12</v>
      </c>
      <c r="AC14" s="31">
        <v>12</v>
      </c>
      <c r="AD14" s="31">
        <v>12</v>
      </c>
      <c r="AE14" s="31">
        <v>4</v>
      </c>
    </row>
    <row r="15" spans="2:31" ht="17.399999999999999">
      <c r="B15" s="466"/>
      <c r="C15" s="29" t="s">
        <v>258</v>
      </c>
      <c r="D15" s="31">
        <v>12</v>
      </c>
      <c r="E15" s="31">
        <v>12</v>
      </c>
      <c r="F15" s="31">
        <v>12</v>
      </c>
      <c r="G15" s="31">
        <v>12</v>
      </c>
      <c r="H15" s="31">
        <v>12</v>
      </c>
      <c r="I15" s="31">
        <v>12</v>
      </c>
      <c r="J15" s="31">
        <v>12</v>
      </c>
      <c r="K15" s="31">
        <v>12</v>
      </c>
      <c r="L15" s="31">
        <v>12</v>
      </c>
      <c r="M15" s="31">
        <v>12</v>
      </c>
      <c r="N15" s="31">
        <v>12</v>
      </c>
      <c r="O15" s="32">
        <v>17</v>
      </c>
      <c r="P15" s="31">
        <v>12</v>
      </c>
      <c r="Q15" s="31">
        <v>12</v>
      </c>
      <c r="R15" s="31">
        <v>12</v>
      </c>
      <c r="S15" s="31">
        <v>12</v>
      </c>
      <c r="T15" s="31">
        <v>12</v>
      </c>
      <c r="U15" s="31">
        <v>12</v>
      </c>
      <c r="V15" s="31">
        <v>12</v>
      </c>
      <c r="W15" s="31">
        <v>12</v>
      </c>
      <c r="X15" s="31">
        <v>12</v>
      </c>
      <c r="Y15" s="31">
        <v>12</v>
      </c>
      <c r="Z15" s="31">
        <v>12</v>
      </c>
      <c r="AA15" s="31">
        <v>12</v>
      </c>
      <c r="AB15" s="31">
        <v>12</v>
      </c>
      <c r="AC15" s="31">
        <v>12</v>
      </c>
      <c r="AD15" s="31">
        <v>12</v>
      </c>
      <c r="AE15" s="31">
        <v>4</v>
      </c>
    </row>
    <row r="16" spans="2:31" ht="17.399999999999999">
      <c r="B16" s="466"/>
      <c r="C16" s="28" t="s">
        <v>259</v>
      </c>
      <c r="D16" s="33">
        <v>7</v>
      </c>
      <c r="E16" s="33">
        <v>7</v>
      </c>
      <c r="F16" s="33">
        <v>7</v>
      </c>
      <c r="G16" s="33">
        <v>7</v>
      </c>
      <c r="H16" s="33">
        <v>7</v>
      </c>
      <c r="I16" s="33">
        <v>7</v>
      </c>
      <c r="J16" s="33">
        <v>7</v>
      </c>
      <c r="K16" s="33">
        <v>7</v>
      </c>
      <c r="L16" s="33">
        <v>7</v>
      </c>
      <c r="M16" s="33">
        <v>7</v>
      </c>
      <c r="N16" s="33">
        <v>7</v>
      </c>
      <c r="O16" s="33">
        <v>7</v>
      </c>
      <c r="P16" s="34">
        <v>18</v>
      </c>
      <c r="Q16" s="33">
        <v>7</v>
      </c>
      <c r="R16" s="33">
        <v>7</v>
      </c>
      <c r="S16" s="33">
        <v>12</v>
      </c>
      <c r="T16" s="33">
        <v>7</v>
      </c>
      <c r="U16" s="33">
        <v>7</v>
      </c>
      <c r="V16" s="33">
        <v>7</v>
      </c>
      <c r="W16" s="33">
        <v>12</v>
      </c>
      <c r="X16" s="33">
        <v>12</v>
      </c>
      <c r="Y16" s="33">
        <v>7</v>
      </c>
      <c r="Z16" s="33">
        <v>7</v>
      </c>
      <c r="AA16" s="33">
        <v>12</v>
      </c>
      <c r="AB16" s="33">
        <v>12</v>
      </c>
      <c r="AC16" s="33">
        <v>7</v>
      </c>
      <c r="AD16" s="33">
        <v>7</v>
      </c>
      <c r="AE16" s="33">
        <v>4</v>
      </c>
    </row>
    <row r="17" spans="2:31" ht="17.399999999999999">
      <c r="B17" s="466"/>
      <c r="C17" s="29" t="s">
        <v>260</v>
      </c>
      <c r="D17" s="31">
        <v>12</v>
      </c>
      <c r="E17" s="31">
        <v>12</v>
      </c>
      <c r="F17" s="31">
        <v>12</v>
      </c>
      <c r="G17" s="31">
        <v>12</v>
      </c>
      <c r="H17" s="31">
        <v>12</v>
      </c>
      <c r="I17" s="31">
        <v>12</v>
      </c>
      <c r="J17" s="31">
        <v>12</v>
      </c>
      <c r="K17" s="31">
        <v>12</v>
      </c>
      <c r="L17" s="31">
        <v>12</v>
      </c>
      <c r="M17" s="31">
        <v>12</v>
      </c>
      <c r="N17" s="31">
        <v>12</v>
      </c>
      <c r="O17" s="31">
        <v>12</v>
      </c>
      <c r="P17" s="31">
        <v>12</v>
      </c>
      <c r="Q17" s="32">
        <v>17</v>
      </c>
      <c r="R17" s="31">
        <v>12</v>
      </c>
      <c r="S17" s="31">
        <v>12</v>
      </c>
      <c r="T17" s="31">
        <v>12</v>
      </c>
      <c r="U17" s="31">
        <v>12</v>
      </c>
      <c r="V17" s="31">
        <v>12</v>
      </c>
      <c r="W17" s="31">
        <v>12</v>
      </c>
      <c r="X17" s="31">
        <v>12</v>
      </c>
      <c r="Y17" s="31">
        <v>12</v>
      </c>
      <c r="Z17" s="31">
        <v>12</v>
      </c>
      <c r="AA17" s="31">
        <v>12</v>
      </c>
      <c r="AB17" s="31">
        <v>12</v>
      </c>
      <c r="AC17" s="31">
        <v>12</v>
      </c>
      <c r="AD17" s="31">
        <v>12</v>
      </c>
      <c r="AE17" s="31">
        <v>4</v>
      </c>
    </row>
    <row r="18" spans="2:31" ht="17.399999999999999">
      <c r="B18" s="466"/>
      <c r="C18" s="29" t="s">
        <v>261</v>
      </c>
      <c r="D18" s="31">
        <v>12</v>
      </c>
      <c r="E18" s="31">
        <v>12</v>
      </c>
      <c r="F18" s="31">
        <v>12</v>
      </c>
      <c r="G18" s="31">
        <v>12</v>
      </c>
      <c r="H18" s="31">
        <v>12</v>
      </c>
      <c r="I18" s="31">
        <v>12</v>
      </c>
      <c r="J18" s="31">
        <v>12</v>
      </c>
      <c r="K18" s="31">
        <v>12</v>
      </c>
      <c r="L18" s="31">
        <v>12</v>
      </c>
      <c r="M18" s="31">
        <v>12</v>
      </c>
      <c r="N18" s="31">
        <v>12</v>
      </c>
      <c r="O18" s="31">
        <v>12</v>
      </c>
      <c r="P18" s="31">
        <v>12</v>
      </c>
      <c r="Q18" s="31">
        <v>12</v>
      </c>
      <c r="R18" s="30">
        <v>18</v>
      </c>
      <c r="S18" s="31">
        <v>12</v>
      </c>
      <c r="T18" s="31">
        <v>12</v>
      </c>
      <c r="U18" s="31">
        <v>12</v>
      </c>
      <c r="V18" s="31">
        <v>12</v>
      </c>
      <c r="W18" s="31">
        <v>12</v>
      </c>
      <c r="X18" s="31">
        <v>12</v>
      </c>
      <c r="Y18" s="31">
        <v>12</v>
      </c>
      <c r="Z18" s="31">
        <v>12</v>
      </c>
      <c r="AA18" s="31">
        <v>12</v>
      </c>
      <c r="AB18" s="31">
        <v>12</v>
      </c>
      <c r="AC18" s="31">
        <v>12</v>
      </c>
      <c r="AD18" s="31">
        <v>12</v>
      </c>
      <c r="AE18" s="31">
        <v>4</v>
      </c>
    </row>
    <row r="19" spans="2:31" ht="17.399999999999999">
      <c r="B19" s="466"/>
      <c r="C19" s="28" t="s">
        <v>262</v>
      </c>
      <c r="D19" s="33">
        <v>7</v>
      </c>
      <c r="E19" s="33">
        <v>7</v>
      </c>
      <c r="F19" s="33">
        <v>7</v>
      </c>
      <c r="G19" s="33">
        <v>7</v>
      </c>
      <c r="H19" s="33">
        <v>7</v>
      </c>
      <c r="I19" s="33">
        <v>7</v>
      </c>
      <c r="J19" s="33">
        <v>7</v>
      </c>
      <c r="K19" s="33">
        <v>7</v>
      </c>
      <c r="L19" s="33">
        <v>7</v>
      </c>
      <c r="M19" s="33">
        <v>7</v>
      </c>
      <c r="N19" s="33">
        <v>7</v>
      </c>
      <c r="O19" s="33">
        <v>7</v>
      </c>
      <c r="P19" s="33">
        <v>12</v>
      </c>
      <c r="Q19" s="33">
        <v>7</v>
      </c>
      <c r="R19" s="33">
        <v>7</v>
      </c>
      <c r="S19" s="34">
        <v>18</v>
      </c>
      <c r="T19" s="33">
        <v>7</v>
      </c>
      <c r="U19" s="33">
        <v>7</v>
      </c>
      <c r="V19" s="33">
        <v>7</v>
      </c>
      <c r="W19" s="33">
        <v>12</v>
      </c>
      <c r="X19" s="33">
        <v>12</v>
      </c>
      <c r="Y19" s="33">
        <v>7</v>
      </c>
      <c r="Z19" s="33">
        <v>7</v>
      </c>
      <c r="AA19" s="33">
        <v>12</v>
      </c>
      <c r="AB19" s="33">
        <v>12</v>
      </c>
      <c r="AC19" s="33">
        <v>7</v>
      </c>
      <c r="AD19" s="33">
        <v>7</v>
      </c>
      <c r="AE19" s="33">
        <v>4</v>
      </c>
    </row>
    <row r="20" spans="2:31" ht="17.399999999999999">
      <c r="B20" s="466"/>
      <c r="C20" s="29" t="s">
        <v>263</v>
      </c>
      <c r="D20" s="31">
        <v>12</v>
      </c>
      <c r="E20" s="31">
        <v>12</v>
      </c>
      <c r="F20" s="31">
        <v>12</v>
      </c>
      <c r="G20" s="31">
        <v>12</v>
      </c>
      <c r="H20" s="31">
        <v>12</v>
      </c>
      <c r="I20" s="31">
        <v>12</v>
      </c>
      <c r="J20" s="31">
        <v>12</v>
      </c>
      <c r="K20" s="31">
        <v>12</v>
      </c>
      <c r="L20" s="31">
        <v>12</v>
      </c>
      <c r="M20" s="31">
        <v>12</v>
      </c>
      <c r="N20" s="31">
        <v>12</v>
      </c>
      <c r="O20" s="31">
        <v>12</v>
      </c>
      <c r="P20" s="31">
        <v>12</v>
      </c>
      <c r="Q20" s="31">
        <v>12</v>
      </c>
      <c r="R20" s="31">
        <v>12</v>
      </c>
      <c r="S20" s="31">
        <v>12</v>
      </c>
      <c r="T20" s="30">
        <v>18</v>
      </c>
      <c r="U20" s="31">
        <v>12</v>
      </c>
      <c r="V20" s="31">
        <v>12</v>
      </c>
      <c r="W20" s="31">
        <v>12</v>
      </c>
      <c r="X20" s="31">
        <v>12</v>
      </c>
      <c r="Y20" s="31">
        <v>12</v>
      </c>
      <c r="Z20" s="31">
        <v>12</v>
      </c>
      <c r="AA20" s="31">
        <v>12</v>
      </c>
      <c r="AB20" s="31">
        <v>12</v>
      </c>
      <c r="AC20" s="31">
        <v>12</v>
      </c>
      <c r="AD20" s="31">
        <v>12</v>
      </c>
      <c r="AE20" s="31">
        <v>4</v>
      </c>
    </row>
    <row r="21" spans="2:31" ht="17.399999999999999">
      <c r="B21" s="466"/>
      <c r="C21" s="29" t="s">
        <v>264</v>
      </c>
      <c r="D21" s="31">
        <v>12</v>
      </c>
      <c r="E21" s="31">
        <v>12</v>
      </c>
      <c r="F21" s="31">
        <v>12</v>
      </c>
      <c r="G21" s="31">
        <v>12</v>
      </c>
      <c r="H21" s="31">
        <v>12</v>
      </c>
      <c r="I21" s="31">
        <v>12</v>
      </c>
      <c r="J21" s="31">
        <v>12</v>
      </c>
      <c r="K21" s="31">
        <v>12</v>
      </c>
      <c r="L21" s="31">
        <v>12</v>
      </c>
      <c r="M21" s="31">
        <v>12</v>
      </c>
      <c r="N21" s="31">
        <v>12</v>
      </c>
      <c r="O21" s="31">
        <v>12</v>
      </c>
      <c r="P21" s="31">
        <v>12</v>
      </c>
      <c r="Q21" s="31">
        <v>12</v>
      </c>
      <c r="R21" s="31">
        <v>12</v>
      </c>
      <c r="S21" s="31">
        <v>12</v>
      </c>
      <c r="T21" s="31">
        <v>12</v>
      </c>
      <c r="U21" s="30">
        <v>18</v>
      </c>
      <c r="V21" s="31">
        <v>12</v>
      </c>
      <c r="W21" s="31">
        <v>12</v>
      </c>
      <c r="X21" s="31">
        <v>12</v>
      </c>
      <c r="Y21" s="31">
        <v>12</v>
      </c>
      <c r="Z21" s="31">
        <v>12</v>
      </c>
      <c r="AA21" s="31">
        <v>12</v>
      </c>
      <c r="AB21" s="31">
        <v>12</v>
      </c>
      <c r="AC21" s="31">
        <v>12</v>
      </c>
      <c r="AD21" s="31">
        <v>12</v>
      </c>
      <c r="AE21" s="31">
        <v>4</v>
      </c>
    </row>
    <row r="22" spans="2:31" ht="17.399999999999999">
      <c r="B22" s="466"/>
      <c r="C22" s="29" t="s">
        <v>265</v>
      </c>
      <c r="D22" s="31">
        <v>12</v>
      </c>
      <c r="E22" s="31">
        <v>12</v>
      </c>
      <c r="F22" s="31">
        <v>12</v>
      </c>
      <c r="G22" s="31">
        <v>12</v>
      </c>
      <c r="H22" s="31">
        <v>12</v>
      </c>
      <c r="I22" s="31">
        <v>12</v>
      </c>
      <c r="J22" s="31">
        <v>12</v>
      </c>
      <c r="K22" s="31">
        <v>12</v>
      </c>
      <c r="L22" s="31">
        <v>12</v>
      </c>
      <c r="M22" s="31">
        <v>12</v>
      </c>
      <c r="N22" s="31">
        <v>12</v>
      </c>
      <c r="O22" s="31">
        <v>12</v>
      </c>
      <c r="P22" s="31">
        <v>12</v>
      </c>
      <c r="Q22" s="31">
        <v>12</v>
      </c>
      <c r="R22" s="31">
        <v>12</v>
      </c>
      <c r="S22" s="31">
        <v>12</v>
      </c>
      <c r="T22" s="31">
        <v>12</v>
      </c>
      <c r="U22" s="31">
        <v>12</v>
      </c>
      <c r="V22" s="30">
        <v>18</v>
      </c>
      <c r="W22" s="31">
        <v>12</v>
      </c>
      <c r="X22" s="31">
        <v>12</v>
      </c>
      <c r="Y22" s="31">
        <v>12</v>
      </c>
      <c r="Z22" s="31">
        <v>12</v>
      </c>
      <c r="AA22" s="31">
        <v>12</v>
      </c>
      <c r="AB22" s="31">
        <v>12</v>
      </c>
      <c r="AC22" s="31">
        <v>12</v>
      </c>
      <c r="AD22" s="31">
        <v>12</v>
      </c>
      <c r="AE22" s="31">
        <v>4</v>
      </c>
    </row>
    <row r="23" spans="2:31" ht="17.399999999999999">
      <c r="B23" s="466"/>
      <c r="C23" s="28" t="s">
        <v>266</v>
      </c>
      <c r="D23" s="33">
        <v>7</v>
      </c>
      <c r="E23" s="33">
        <v>7</v>
      </c>
      <c r="F23" s="33">
        <v>7</v>
      </c>
      <c r="G23" s="33">
        <v>7</v>
      </c>
      <c r="H23" s="33">
        <v>7</v>
      </c>
      <c r="I23" s="33">
        <v>7</v>
      </c>
      <c r="J23" s="33">
        <v>7</v>
      </c>
      <c r="K23" s="33">
        <v>7</v>
      </c>
      <c r="L23" s="33">
        <v>7</v>
      </c>
      <c r="M23" s="33">
        <v>7</v>
      </c>
      <c r="N23" s="33">
        <v>7</v>
      </c>
      <c r="O23" s="33">
        <v>7</v>
      </c>
      <c r="P23" s="33">
        <v>12</v>
      </c>
      <c r="Q23" s="33">
        <v>7</v>
      </c>
      <c r="R23" s="33">
        <v>7</v>
      </c>
      <c r="S23" s="33">
        <v>12</v>
      </c>
      <c r="T23" s="33">
        <v>7</v>
      </c>
      <c r="U23" s="33">
        <v>7</v>
      </c>
      <c r="V23" s="33">
        <v>7</v>
      </c>
      <c r="W23" s="34">
        <v>18</v>
      </c>
      <c r="X23" s="33">
        <v>12</v>
      </c>
      <c r="Y23" s="33">
        <v>12</v>
      </c>
      <c r="Z23" s="33">
        <v>7</v>
      </c>
      <c r="AA23" s="33">
        <v>12</v>
      </c>
      <c r="AB23" s="33">
        <v>12</v>
      </c>
      <c r="AC23" s="33">
        <v>7</v>
      </c>
      <c r="AD23" s="33">
        <v>7</v>
      </c>
      <c r="AE23" s="33">
        <v>4</v>
      </c>
    </row>
    <row r="24" spans="2:31" ht="17.399999999999999">
      <c r="B24" s="466"/>
      <c r="C24" s="28" t="s">
        <v>267</v>
      </c>
      <c r="D24" s="33">
        <v>7</v>
      </c>
      <c r="E24" s="33">
        <v>7</v>
      </c>
      <c r="F24" s="33">
        <v>7</v>
      </c>
      <c r="G24" s="33">
        <v>7</v>
      </c>
      <c r="H24" s="33">
        <v>7</v>
      </c>
      <c r="I24" s="33">
        <v>7</v>
      </c>
      <c r="J24" s="33">
        <v>7</v>
      </c>
      <c r="K24" s="33">
        <v>7</v>
      </c>
      <c r="L24" s="33">
        <v>7</v>
      </c>
      <c r="M24" s="33">
        <v>7</v>
      </c>
      <c r="N24" s="33">
        <v>7</v>
      </c>
      <c r="O24" s="33">
        <v>7</v>
      </c>
      <c r="P24" s="33">
        <v>7</v>
      </c>
      <c r="Q24" s="33">
        <v>7</v>
      </c>
      <c r="R24" s="33">
        <v>7</v>
      </c>
      <c r="S24" s="33">
        <v>7</v>
      </c>
      <c r="T24" s="33">
        <v>7</v>
      </c>
      <c r="U24" s="33">
        <v>7</v>
      </c>
      <c r="V24" s="33">
        <v>7</v>
      </c>
      <c r="W24" s="33">
        <v>7</v>
      </c>
      <c r="X24" s="34">
        <v>18</v>
      </c>
      <c r="Y24" s="33">
        <v>7</v>
      </c>
      <c r="Z24" s="33">
        <v>7</v>
      </c>
      <c r="AA24" s="33">
        <v>12</v>
      </c>
      <c r="AB24" s="33">
        <v>12</v>
      </c>
      <c r="AC24" s="33">
        <v>7</v>
      </c>
      <c r="AD24" s="33">
        <v>7</v>
      </c>
      <c r="AE24" s="33">
        <v>4</v>
      </c>
    </row>
    <row r="25" spans="2:31" ht="17.399999999999999">
      <c r="B25" s="466"/>
      <c r="C25" s="29" t="s">
        <v>268</v>
      </c>
      <c r="D25" s="31">
        <v>12</v>
      </c>
      <c r="E25" s="31">
        <v>12</v>
      </c>
      <c r="F25" s="31">
        <v>12</v>
      </c>
      <c r="G25" s="31">
        <v>12</v>
      </c>
      <c r="H25" s="31">
        <v>12</v>
      </c>
      <c r="I25" s="31">
        <v>12</v>
      </c>
      <c r="J25" s="31">
        <v>12</v>
      </c>
      <c r="K25" s="31">
        <v>12</v>
      </c>
      <c r="L25" s="31">
        <v>12</v>
      </c>
      <c r="M25" s="31">
        <v>12</v>
      </c>
      <c r="N25" s="31">
        <v>12</v>
      </c>
      <c r="O25" s="31">
        <v>12</v>
      </c>
      <c r="P25" s="31">
        <v>12</v>
      </c>
      <c r="Q25" s="31">
        <v>12</v>
      </c>
      <c r="R25" s="31">
        <v>12</v>
      </c>
      <c r="S25" s="31">
        <v>12</v>
      </c>
      <c r="T25" s="31">
        <v>12</v>
      </c>
      <c r="U25" s="31">
        <v>12</v>
      </c>
      <c r="V25" s="31">
        <v>12</v>
      </c>
      <c r="W25" s="31">
        <v>12</v>
      </c>
      <c r="X25" s="31">
        <v>12</v>
      </c>
      <c r="Y25" s="30">
        <v>20</v>
      </c>
      <c r="Z25" s="31">
        <v>12</v>
      </c>
      <c r="AA25" s="31">
        <v>12</v>
      </c>
      <c r="AB25" s="31">
        <v>12</v>
      </c>
      <c r="AC25" s="31">
        <v>12</v>
      </c>
      <c r="AD25" s="31">
        <v>12</v>
      </c>
      <c r="AE25" s="31">
        <v>4</v>
      </c>
    </row>
    <row r="26" spans="2:31" ht="17.399999999999999">
      <c r="B26" s="466"/>
      <c r="C26" s="29" t="s">
        <v>269</v>
      </c>
      <c r="D26" s="31">
        <v>12</v>
      </c>
      <c r="E26" s="31">
        <v>12</v>
      </c>
      <c r="F26" s="31">
        <v>12</v>
      </c>
      <c r="G26" s="31">
        <v>12</v>
      </c>
      <c r="H26" s="31">
        <v>12</v>
      </c>
      <c r="I26" s="31">
        <v>12</v>
      </c>
      <c r="J26" s="31">
        <v>12</v>
      </c>
      <c r="K26" s="31">
        <v>12</v>
      </c>
      <c r="L26" s="31">
        <v>12</v>
      </c>
      <c r="M26" s="31">
        <v>12</v>
      </c>
      <c r="N26" s="31">
        <v>12</v>
      </c>
      <c r="O26" s="31">
        <v>12</v>
      </c>
      <c r="P26" s="31">
        <v>12</v>
      </c>
      <c r="Q26" s="31">
        <v>12</v>
      </c>
      <c r="R26" s="31">
        <v>12</v>
      </c>
      <c r="S26" s="31">
        <v>12</v>
      </c>
      <c r="T26" s="31">
        <v>12</v>
      </c>
      <c r="U26" s="31">
        <v>12</v>
      </c>
      <c r="V26" s="31">
        <v>12</v>
      </c>
      <c r="W26" s="31">
        <v>12</v>
      </c>
      <c r="X26" s="31">
        <v>12</v>
      </c>
      <c r="Y26" s="31">
        <v>12</v>
      </c>
      <c r="Z26" s="35">
        <v>17.5</v>
      </c>
      <c r="AA26" s="31">
        <v>12</v>
      </c>
      <c r="AB26" s="31">
        <v>12</v>
      </c>
      <c r="AC26" s="31">
        <v>12</v>
      </c>
      <c r="AD26" s="31">
        <v>12</v>
      </c>
      <c r="AE26" s="31">
        <v>4</v>
      </c>
    </row>
    <row r="27" spans="2:31" ht="17.399999999999999">
      <c r="B27" s="466"/>
      <c r="C27" s="28" t="s">
        <v>270</v>
      </c>
      <c r="D27" s="33">
        <v>7</v>
      </c>
      <c r="E27" s="33">
        <v>7</v>
      </c>
      <c r="F27" s="33">
        <v>7</v>
      </c>
      <c r="G27" s="33">
        <v>7</v>
      </c>
      <c r="H27" s="33">
        <v>7</v>
      </c>
      <c r="I27" s="33">
        <v>7</v>
      </c>
      <c r="J27" s="33">
        <v>7</v>
      </c>
      <c r="K27" s="33">
        <v>7</v>
      </c>
      <c r="L27" s="33">
        <v>7</v>
      </c>
      <c r="M27" s="33">
        <v>7</v>
      </c>
      <c r="N27" s="33">
        <v>7</v>
      </c>
      <c r="O27" s="33">
        <v>7</v>
      </c>
      <c r="P27" s="33">
        <v>12</v>
      </c>
      <c r="Q27" s="33">
        <v>7</v>
      </c>
      <c r="R27" s="33">
        <v>7</v>
      </c>
      <c r="S27" s="33">
        <v>12</v>
      </c>
      <c r="T27" s="33">
        <v>7</v>
      </c>
      <c r="U27" s="33">
        <v>7</v>
      </c>
      <c r="V27" s="33">
        <v>7</v>
      </c>
      <c r="W27" s="33">
        <v>12</v>
      </c>
      <c r="X27" s="33">
        <v>12</v>
      </c>
      <c r="Y27" s="33">
        <v>7</v>
      </c>
      <c r="Z27" s="33">
        <v>7</v>
      </c>
      <c r="AA27" s="34">
        <v>17</v>
      </c>
      <c r="AB27" s="33">
        <v>12</v>
      </c>
      <c r="AC27" s="33">
        <v>7</v>
      </c>
      <c r="AD27" s="33">
        <v>7</v>
      </c>
      <c r="AE27" s="33">
        <v>4</v>
      </c>
    </row>
    <row r="28" spans="2:31" ht="17.399999999999999">
      <c r="B28" s="466"/>
      <c r="C28" s="28" t="s">
        <v>271</v>
      </c>
      <c r="D28" s="33">
        <v>7</v>
      </c>
      <c r="E28" s="33">
        <v>7</v>
      </c>
      <c r="F28" s="33">
        <v>7</v>
      </c>
      <c r="G28" s="33">
        <v>7</v>
      </c>
      <c r="H28" s="33">
        <v>7</v>
      </c>
      <c r="I28" s="33">
        <v>7</v>
      </c>
      <c r="J28" s="33">
        <v>7</v>
      </c>
      <c r="K28" s="33">
        <v>7</v>
      </c>
      <c r="L28" s="33">
        <v>7</v>
      </c>
      <c r="M28" s="33">
        <v>7</v>
      </c>
      <c r="N28" s="33">
        <v>7</v>
      </c>
      <c r="O28" s="33">
        <v>7</v>
      </c>
      <c r="P28" s="33">
        <v>12</v>
      </c>
      <c r="Q28" s="33">
        <v>7</v>
      </c>
      <c r="R28" s="33">
        <v>7</v>
      </c>
      <c r="S28" s="33">
        <v>12</v>
      </c>
      <c r="T28" s="33">
        <v>7</v>
      </c>
      <c r="U28" s="33">
        <v>7</v>
      </c>
      <c r="V28" s="33">
        <v>7</v>
      </c>
      <c r="W28" s="33">
        <v>12</v>
      </c>
      <c r="X28" s="33">
        <v>12</v>
      </c>
      <c r="Y28" s="33">
        <v>7</v>
      </c>
      <c r="Z28" s="33">
        <v>7</v>
      </c>
      <c r="AA28" s="33">
        <v>12</v>
      </c>
      <c r="AB28" s="34">
        <v>17</v>
      </c>
      <c r="AC28" s="33">
        <v>7</v>
      </c>
      <c r="AD28" s="33">
        <v>7</v>
      </c>
      <c r="AE28" s="33">
        <v>4</v>
      </c>
    </row>
    <row r="29" spans="2:31" ht="17.399999999999999">
      <c r="B29" s="466"/>
      <c r="C29" s="29" t="s">
        <v>272</v>
      </c>
      <c r="D29" s="31">
        <v>12</v>
      </c>
      <c r="E29" s="31">
        <v>12</v>
      </c>
      <c r="F29" s="31">
        <v>12</v>
      </c>
      <c r="G29" s="31">
        <v>12</v>
      </c>
      <c r="H29" s="31">
        <v>12</v>
      </c>
      <c r="I29" s="31">
        <v>12</v>
      </c>
      <c r="J29" s="31">
        <v>12</v>
      </c>
      <c r="K29" s="31">
        <v>12</v>
      </c>
      <c r="L29" s="31">
        <v>12</v>
      </c>
      <c r="M29" s="31">
        <v>12</v>
      </c>
      <c r="N29" s="31">
        <v>12</v>
      </c>
      <c r="O29" s="31">
        <v>12</v>
      </c>
      <c r="P29" s="31">
        <v>12</v>
      </c>
      <c r="Q29" s="31">
        <v>12</v>
      </c>
      <c r="R29" s="31">
        <v>12</v>
      </c>
      <c r="S29" s="31">
        <v>12</v>
      </c>
      <c r="T29" s="31">
        <v>12</v>
      </c>
      <c r="U29" s="31">
        <v>12</v>
      </c>
      <c r="V29" s="31">
        <v>12</v>
      </c>
      <c r="W29" s="31">
        <v>12</v>
      </c>
      <c r="X29" s="31">
        <v>12</v>
      </c>
      <c r="Y29" s="31">
        <v>12</v>
      </c>
      <c r="Z29" s="31">
        <v>12</v>
      </c>
      <c r="AA29" s="31">
        <v>12</v>
      </c>
      <c r="AB29" s="31">
        <v>12</v>
      </c>
      <c r="AC29" s="30">
        <v>18</v>
      </c>
      <c r="AD29" s="31">
        <v>12</v>
      </c>
      <c r="AE29" s="31">
        <v>4</v>
      </c>
    </row>
    <row r="30" spans="2:31" ht="17.399999999999999">
      <c r="B30" s="466"/>
      <c r="C30" s="29" t="s">
        <v>273</v>
      </c>
      <c r="D30" s="31">
        <v>12</v>
      </c>
      <c r="E30" s="31">
        <v>12</v>
      </c>
      <c r="F30" s="31">
        <v>12</v>
      </c>
      <c r="G30" s="31">
        <v>12</v>
      </c>
      <c r="H30" s="31">
        <v>12</v>
      </c>
      <c r="I30" s="31">
        <v>12</v>
      </c>
      <c r="J30" s="31">
        <v>12</v>
      </c>
      <c r="K30" s="31">
        <v>12</v>
      </c>
      <c r="L30" s="31">
        <v>12</v>
      </c>
      <c r="M30" s="31">
        <v>12</v>
      </c>
      <c r="N30" s="31">
        <v>12</v>
      </c>
      <c r="O30" s="31">
        <v>12</v>
      </c>
      <c r="P30" s="31">
        <v>12</v>
      </c>
      <c r="Q30" s="31">
        <v>12</v>
      </c>
      <c r="R30" s="31">
        <v>12</v>
      </c>
      <c r="S30" s="31">
        <v>12</v>
      </c>
      <c r="T30" s="31">
        <v>12</v>
      </c>
      <c r="U30" s="31">
        <v>12</v>
      </c>
      <c r="V30" s="31">
        <v>12</v>
      </c>
      <c r="W30" s="31">
        <v>12</v>
      </c>
      <c r="X30" s="31">
        <v>12</v>
      </c>
      <c r="Y30" s="31">
        <v>12</v>
      </c>
      <c r="Z30" s="31">
        <v>12</v>
      </c>
      <c r="AA30" s="31">
        <v>12</v>
      </c>
      <c r="AB30" s="31">
        <v>12</v>
      </c>
      <c r="AC30" s="31">
        <v>12</v>
      </c>
      <c r="AD30" s="30">
        <v>18</v>
      </c>
      <c r="AE30" s="31">
        <v>4</v>
      </c>
    </row>
    <row r="31" spans="2:31" ht="17.399999999999999">
      <c r="B31" s="466"/>
      <c r="C31" s="29" t="s">
        <v>274</v>
      </c>
      <c r="D31" s="31">
        <v>4</v>
      </c>
      <c r="E31" s="31">
        <v>4</v>
      </c>
      <c r="F31" s="31">
        <v>4</v>
      </c>
      <c r="G31" s="31">
        <v>4</v>
      </c>
      <c r="H31" s="31">
        <v>4</v>
      </c>
      <c r="I31" s="31">
        <v>4</v>
      </c>
      <c r="J31" s="31">
        <v>4</v>
      </c>
      <c r="K31" s="31">
        <v>4</v>
      </c>
      <c r="L31" s="31">
        <v>4</v>
      </c>
      <c r="M31" s="31">
        <v>4</v>
      </c>
      <c r="N31" s="31">
        <v>4</v>
      </c>
      <c r="O31" s="31">
        <v>4</v>
      </c>
      <c r="P31" s="31">
        <v>4</v>
      </c>
      <c r="Q31" s="31">
        <v>4</v>
      </c>
      <c r="R31" s="31">
        <v>4</v>
      </c>
      <c r="S31" s="31">
        <v>4</v>
      </c>
      <c r="T31" s="31">
        <v>4</v>
      </c>
      <c r="U31" s="31">
        <v>4</v>
      </c>
      <c r="V31" s="31">
        <v>4</v>
      </c>
      <c r="W31" s="31">
        <v>4</v>
      </c>
      <c r="X31" s="31">
        <v>4</v>
      </c>
      <c r="Y31" s="31">
        <v>4</v>
      </c>
      <c r="Z31" s="31">
        <v>4</v>
      </c>
      <c r="AA31" s="31">
        <v>4</v>
      </c>
      <c r="AB31" s="31">
        <v>4</v>
      </c>
      <c r="AC31" s="31">
        <v>4</v>
      </c>
      <c r="AD31" s="31">
        <v>4</v>
      </c>
      <c r="AE31" s="55"/>
    </row>
  </sheetData>
  <mergeCells count="2">
    <mergeCell ref="B2:B31"/>
    <mergeCell ref="C2:AE2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ECB52-C671-4F6A-9152-AE985BCB2464}">
  <dimension ref="B2:D30"/>
  <sheetViews>
    <sheetView showGridLines="0" topLeftCell="A7" workbookViewId="0">
      <selection activeCell="I8" sqref="I8"/>
    </sheetView>
  </sheetViews>
  <sheetFormatPr defaultRowHeight="16.8"/>
  <cols>
    <col min="1" max="1" width="8.88671875" style="56"/>
    <col min="2" max="2" width="6" style="56" bestFit="1" customWidth="1"/>
    <col min="3" max="3" width="14.44140625" style="56" bestFit="1" customWidth="1"/>
    <col min="4" max="4" width="10.44140625" style="56" bestFit="1" customWidth="1"/>
    <col min="5" max="16384" width="8.88671875" style="56"/>
  </cols>
  <sheetData>
    <row r="2" spans="2:4" ht="17.399999999999999">
      <c r="B2" s="29" t="s">
        <v>285</v>
      </c>
      <c r="C2" s="29" t="s">
        <v>277</v>
      </c>
      <c r="D2" s="29" t="s">
        <v>276</v>
      </c>
    </row>
    <row r="3" spans="2:4">
      <c r="B3" s="87" t="s">
        <v>253</v>
      </c>
      <c r="C3" s="88">
        <v>0.18</v>
      </c>
      <c r="D3" s="88">
        <v>0.18</v>
      </c>
    </row>
    <row r="4" spans="2:4">
      <c r="B4" s="87" t="s">
        <v>247</v>
      </c>
      <c r="C4" s="88">
        <v>0.12</v>
      </c>
      <c r="D4" s="88">
        <v>0.12</v>
      </c>
    </row>
    <row r="5" spans="2:4">
      <c r="B5" s="87" t="s">
        <v>248</v>
      </c>
      <c r="C5" s="88">
        <v>0.12</v>
      </c>
      <c r="D5" s="88">
        <v>0.12</v>
      </c>
    </row>
    <row r="6" spans="2:4">
      <c r="B6" s="87" t="s">
        <v>249</v>
      </c>
      <c r="C6" s="88">
        <v>0.12</v>
      </c>
      <c r="D6" s="88">
        <v>0.12</v>
      </c>
    </row>
    <row r="7" spans="2:4">
      <c r="B7" s="87" t="s">
        <v>250</v>
      </c>
      <c r="C7" s="88">
        <v>0.12</v>
      </c>
      <c r="D7" s="88">
        <v>0.12</v>
      </c>
    </row>
    <row r="8" spans="2:4">
      <c r="B8" s="87" t="s">
        <v>251</v>
      </c>
      <c r="C8" s="88">
        <v>0.12</v>
      </c>
      <c r="D8" s="88">
        <v>0.12</v>
      </c>
    </row>
    <row r="9" spans="2:4">
      <c r="B9" s="87" t="s">
        <v>252</v>
      </c>
      <c r="C9" s="88">
        <v>0.12</v>
      </c>
      <c r="D9" s="88">
        <v>0.12</v>
      </c>
    </row>
    <row r="10" spans="2:4">
      <c r="B10" s="87" t="s">
        <v>254</v>
      </c>
      <c r="C10" s="88">
        <v>0.12</v>
      </c>
      <c r="D10" s="88">
        <v>0.12</v>
      </c>
    </row>
    <row r="11" spans="2:4">
      <c r="B11" s="87" t="s">
        <v>255</v>
      </c>
      <c r="C11" s="88">
        <v>0.12</v>
      </c>
      <c r="D11" s="88">
        <v>0.12</v>
      </c>
    </row>
    <row r="12" spans="2:4">
      <c r="B12" s="87" t="s">
        <v>256</v>
      </c>
      <c r="C12" s="88">
        <v>0.12</v>
      </c>
      <c r="D12" s="88">
        <v>0.12</v>
      </c>
    </row>
    <row r="13" spans="2:4">
      <c r="B13" s="87" t="s">
        <v>257</v>
      </c>
      <c r="C13" s="88">
        <v>0.12</v>
      </c>
      <c r="D13" s="88">
        <v>0.12</v>
      </c>
    </row>
    <row r="14" spans="2:4">
      <c r="B14" s="87" t="s">
        <v>258</v>
      </c>
      <c r="C14" s="88">
        <v>0.12</v>
      </c>
      <c r="D14" s="88">
        <v>0.12</v>
      </c>
    </row>
    <row r="15" spans="2:4">
      <c r="B15" s="87" t="s">
        <v>260</v>
      </c>
      <c r="C15" s="88">
        <v>0.12</v>
      </c>
      <c r="D15" s="88">
        <v>0.12</v>
      </c>
    </row>
    <row r="16" spans="2:4">
      <c r="B16" s="87" t="s">
        <v>261</v>
      </c>
      <c r="C16" s="88">
        <v>0.12</v>
      </c>
      <c r="D16" s="88">
        <v>0.12</v>
      </c>
    </row>
    <row r="17" spans="2:4">
      <c r="B17" s="87" t="s">
        <v>263</v>
      </c>
      <c r="C17" s="88">
        <v>0.12</v>
      </c>
      <c r="D17" s="88">
        <v>0.12</v>
      </c>
    </row>
    <row r="18" spans="2:4">
      <c r="B18" s="87" t="s">
        <v>264</v>
      </c>
      <c r="C18" s="88">
        <v>0.12</v>
      </c>
      <c r="D18" s="88">
        <v>0.12</v>
      </c>
    </row>
    <row r="19" spans="2:4">
      <c r="B19" s="87" t="s">
        <v>265</v>
      </c>
      <c r="C19" s="88">
        <v>0.12</v>
      </c>
      <c r="D19" s="88">
        <v>0.12</v>
      </c>
    </row>
    <row r="20" spans="2:4">
      <c r="B20" s="87" t="s">
        <v>268</v>
      </c>
      <c r="C20" s="88">
        <v>0.12</v>
      </c>
      <c r="D20" s="88">
        <v>0.12</v>
      </c>
    </row>
    <row r="21" spans="2:4">
      <c r="B21" s="87" t="s">
        <v>269</v>
      </c>
      <c r="C21" s="88">
        <v>0.12</v>
      </c>
      <c r="D21" s="88">
        <v>0.12</v>
      </c>
    </row>
    <row r="22" spans="2:4">
      <c r="B22" s="87" t="s">
        <v>272</v>
      </c>
      <c r="C22" s="88">
        <v>0.12</v>
      </c>
      <c r="D22" s="88">
        <v>0.12</v>
      </c>
    </row>
    <row r="23" spans="2:4">
      <c r="B23" s="87" t="s">
        <v>273</v>
      </c>
      <c r="C23" s="88">
        <v>0.12</v>
      </c>
      <c r="D23" s="88">
        <v>0.12</v>
      </c>
    </row>
    <row r="24" spans="2:4">
      <c r="B24" s="87" t="s">
        <v>259</v>
      </c>
      <c r="C24" s="88">
        <v>7.0000000000000007E-2</v>
      </c>
      <c r="D24" s="88">
        <v>0.12</v>
      </c>
    </row>
    <row r="25" spans="2:4">
      <c r="B25" s="87" t="s">
        <v>262</v>
      </c>
      <c r="C25" s="88">
        <v>7.0000000000000007E-2</v>
      </c>
      <c r="D25" s="88">
        <v>0.12</v>
      </c>
    </row>
    <row r="26" spans="2:4">
      <c r="B26" s="87" t="s">
        <v>267</v>
      </c>
      <c r="C26" s="88">
        <v>7.0000000000000007E-2</v>
      </c>
      <c r="D26" s="88">
        <v>0.12</v>
      </c>
    </row>
    <row r="27" spans="2:4">
      <c r="B27" s="87" t="s">
        <v>266</v>
      </c>
      <c r="C27" s="88">
        <v>7.0000000000000007E-2</v>
      </c>
      <c r="D27" s="88">
        <v>0.12</v>
      </c>
    </row>
    <row r="28" spans="2:4">
      <c r="B28" s="87" t="s">
        <v>271</v>
      </c>
      <c r="C28" s="88">
        <v>7.0000000000000007E-2</v>
      </c>
      <c r="D28" s="88">
        <v>0.12</v>
      </c>
    </row>
    <row r="29" spans="2:4">
      <c r="B29" s="87" t="s">
        <v>270</v>
      </c>
      <c r="C29" s="88">
        <v>7.0000000000000007E-2</v>
      </c>
      <c r="D29" s="88">
        <v>0.12</v>
      </c>
    </row>
    <row r="30" spans="2:4">
      <c r="B30" s="87" t="s">
        <v>274</v>
      </c>
      <c r="C30" s="88">
        <v>0.04</v>
      </c>
      <c r="D30" s="88">
        <v>0.04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BC3D8-0F65-459B-ABAA-09A20D73DC9F}">
  <dimension ref="B1:W106"/>
  <sheetViews>
    <sheetView showGridLines="0" showRowColHeaders="0"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R17" sqref="R17"/>
    </sheetView>
  </sheetViews>
  <sheetFormatPr defaultColWidth="9.109375" defaultRowHeight="23.4" outlineLevelCol="1"/>
  <cols>
    <col min="1" max="1" width="3.5546875" style="57" customWidth="1"/>
    <col min="2" max="2" width="45.109375" style="64" bestFit="1" customWidth="1"/>
    <col min="3" max="3" width="0.77734375" style="57" customWidth="1"/>
    <col min="4" max="4" width="1" style="57" customWidth="1"/>
    <col min="5" max="5" width="24.5546875" style="57" customWidth="1"/>
    <col min="6" max="6" width="0.6640625" style="57" customWidth="1"/>
    <col min="7" max="7" width="24.5546875" style="57" customWidth="1" outlineLevel="1"/>
    <col min="8" max="8" width="0.77734375" style="57" customWidth="1" outlineLevel="1"/>
    <col min="9" max="9" width="22.77734375" style="57" customWidth="1" outlineLevel="1"/>
    <col min="10" max="11" width="5.21875" style="57" customWidth="1"/>
    <col min="12" max="13" width="9.109375" style="57" customWidth="1"/>
    <col min="14" max="14" width="22" style="57" customWidth="1"/>
    <col min="15" max="15" width="0.88671875" style="57" customWidth="1"/>
    <col min="16" max="16" width="19.6640625" style="57" bestFit="1" customWidth="1"/>
    <col min="17" max="17" width="1.109375" style="57" customWidth="1"/>
    <col min="18" max="18" width="18.77734375" style="57" customWidth="1" outlineLevel="1"/>
    <col min="19" max="19" width="0.6640625" style="57" customWidth="1" outlineLevel="1"/>
    <col min="20" max="20" width="17.6640625" style="57" customWidth="1" outlineLevel="1"/>
    <col min="21" max="16384" width="9.109375" style="57"/>
  </cols>
  <sheetData>
    <row r="1" spans="2:23" ht="12" customHeight="1"/>
    <row r="2" spans="2:23" ht="30">
      <c r="B2" s="57"/>
      <c r="E2" s="70" t="s">
        <v>544</v>
      </c>
      <c r="G2" s="70" t="s">
        <v>545</v>
      </c>
      <c r="I2" s="70" t="s">
        <v>546</v>
      </c>
      <c r="L2" s="468" t="s">
        <v>275</v>
      </c>
      <c r="M2" s="468"/>
      <c r="N2" s="468"/>
      <c r="O2" s="67"/>
      <c r="P2" s="392" t="s">
        <v>544</v>
      </c>
      <c r="R2" s="392" t="s">
        <v>545</v>
      </c>
      <c r="T2" s="392" t="s">
        <v>546</v>
      </c>
    </row>
    <row r="3" spans="2:23" ht="6" customHeight="1">
      <c r="B3" s="480"/>
      <c r="C3" s="480"/>
      <c r="D3" s="480"/>
      <c r="E3" s="480"/>
    </row>
    <row r="4" spans="2:23" ht="6" customHeight="1">
      <c r="C4" s="58"/>
    </row>
    <row r="5" spans="2:23" s="67" customFormat="1" ht="30" customHeight="1">
      <c r="B5" s="71" t="s">
        <v>295</v>
      </c>
      <c r="E5" s="68" t="s">
        <v>288</v>
      </c>
      <c r="G5" s="68" t="s">
        <v>288</v>
      </c>
      <c r="I5" s="68" t="s">
        <v>288</v>
      </c>
      <c r="K5" s="94"/>
      <c r="L5" s="469" t="s">
        <v>290</v>
      </c>
      <c r="M5" s="470"/>
      <c r="N5" s="471"/>
      <c r="P5" s="83">
        <f>E9</f>
        <v>10800</v>
      </c>
      <c r="Q5" s="59"/>
      <c r="R5" s="83">
        <f>G9</f>
        <v>10800</v>
      </c>
      <c r="S5" s="59"/>
      <c r="T5" s="83">
        <f>I9</f>
        <v>9000</v>
      </c>
    </row>
    <row r="6" spans="2:23" s="67" customFormat="1" ht="23.4" customHeight="1">
      <c r="B6" s="66" t="s">
        <v>285</v>
      </c>
      <c r="C6" s="63"/>
      <c r="D6" s="63"/>
      <c r="E6" s="102" t="s">
        <v>253</v>
      </c>
      <c r="F6" s="89"/>
      <c r="G6" s="102" t="s">
        <v>267</v>
      </c>
      <c r="H6" s="89"/>
      <c r="I6" s="102" t="s">
        <v>253</v>
      </c>
      <c r="K6" s="94"/>
      <c r="L6" s="469" t="s">
        <v>302</v>
      </c>
      <c r="M6" s="470"/>
      <c r="N6" s="471"/>
      <c r="P6" s="83">
        <f>E15</f>
        <v>5600.0000000000009</v>
      </c>
      <c r="Q6" s="59"/>
      <c r="R6" s="83">
        <f>G15</f>
        <v>9000</v>
      </c>
      <c r="S6" s="59"/>
      <c r="T6" s="83">
        <f>I15</f>
        <v>3150.0000000000005</v>
      </c>
      <c r="U6" s="63"/>
      <c r="V6" s="63"/>
      <c r="W6" s="63"/>
    </row>
    <row r="7" spans="2:23" s="67" customFormat="1" ht="23.4" customHeight="1">
      <c r="B7" s="66" t="s">
        <v>284</v>
      </c>
      <c r="C7" s="73"/>
      <c r="D7" s="74"/>
      <c r="E7" s="103">
        <v>60000</v>
      </c>
      <c r="F7" s="90"/>
      <c r="G7" s="103">
        <v>90000</v>
      </c>
      <c r="H7" s="90"/>
      <c r="I7" s="103">
        <v>50000</v>
      </c>
      <c r="K7" s="94"/>
      <c r="L7" s="472" t="s">
        <v>291</v>
      </c>
      <c r="M7" s="473"/>
      <c r="N7" s="474"/>
      <c r="P7" s="84">
        <f>P5-P6</f>
        <v>5199.9999999999991</v>
      </c>
      <c r="Q7" s="60"/>
      <c r="R7" s="84">
        <f>R5-R6</f>
        <v>1800</v>
      </c>
      <c r="S7" s="60"/>
      <c r="T7" s="84">
        <f>T5-T6</f>
        <v>5850</v>
      </c>
      <c r="U7" s="63"/>
      <c r="V7" s="63"/>
      <c r="W7" s="63"/>
    </row>
    <row r="8" spans="2:23" s="67" customFormat="1" ht="23.4" customHeight="1">
      <c r="B8" s="72" t="s">
        <v>286</v>
      </c>
      <c r="C8" s="73"/>
      <c r="D8" s="74"/>
      <c r="E8" s="75">
        <f>VLOOKUP(E6,'ALÍQUOTA ICMS'!$B$3:$D$30,3,0)</f>
        <v>0.18</v>
      </c>
      <c r="F8" s="85"/>
      <c r="G8" s="75">
        <f>VLOOKUP(G6,'ALÍQUOTA ICMS'!$B$3:$D$30,3,0)</f>
        <v>0.12</v>
      </c>
      <c r="H8" s="85"/>
      <c r="I8" s="75">
        <f>IFERROR(VLOOKUP(I6,'ALÍQUOTA ICMS'!$B$3:$D$30,3,0),"")</f>
        <v>0.18</v>
      </c>
      <c r="K8" s="94"/>
      <c r="L8" s="469" t="s">
        <v>292</v>
      </c>
      <c r="M8" s="470"/>
      <c r="N8" s="471"/>
      <c r="P8" s="104">
        <f>E23/48</f>
        <v>6.8749999999999991</v>
      </c>
      <c r="Q8" s="91"/>
      <c r="R8" s="104">
        <f>E32</f>
        <v>13.125</v>
      </c>
      <c r="S8" s="91"/>
      <c r="T8" s="104">
        <f>E32</f>
        <v>13.125</v>
      </c>
      <c r="U8" s="63"/>
      <c r="V8" s="63"/>
      <c r="W8" s="63"/>
    </row>
    <row r="9" spans="2:23" s="67" customFormat="1" ht="23.4" customHeight="1">
      <c r="B9" s="81" t="s">
        <v>287</v>
      </c>
      <c r="C9" s="65"/>
      <c r="D9" s="65"/>
      <c r="E9" s="82">
        <f>E7*E8</f>
        <v>10800</v>
      </c>
      <c r="F9" s="74"/>
      <c r="G9" s="82">
        <f>G7*G8</f>
        <v>10800</v>
      </c>
      <c r="H9" s="74"/>
      <c r="I9" s="82">
        <f>I7*I8</f>
        <v>9000</v>
      </c>
      <c r="K9" s="94"/>
      <c r="L9" s="469" t="s">
        <v>293</v>
      </c>
      <c r="M9" s="470"/>
      <c r="N9" s="471"/>
      <c r="P9" s="100">
        <f>IF(P5-P6-P8&gt;0,(P5-P6-P8),0)</f>
        <v>5193.1249999999991</v>
      </c>
      <c r="Q9" s="101"/>
      <c r="R9" s="100">
        <f>IF(R5-R6-R8&gt;0,(R5-R6-R8),0)</f>
        <v>1786.875</v>
      </c>
      <c r="S9" s="60"/>
      <c r="T9" s="100">
        <f>IF(T5-T6-T8&gt;0,(T5-T6-T8),0)</f>
        <v>5836.875</v>
      </c>
      <c r="U9" s="63"/>
      <c r="V9" s="63"/>
      <c r="W9" s="63"/>
    </row>
    <row r="10" spans="2:23" s="67" customFormat="1" ht="23.4" customHeight="1">
      <c r="B10" s="77"/>
      <c r="H10" s="76"/>
      <c r="K10" s="94"/>
      <c r="L10" s="469" t="s">
        <v>294</v>
      </c>
      <c r="M10" s="470"/>
      <c r="N10" s="471"/>
      <c r="P10" s="84">
        <f>IF(P5-P6-P8&lt;0,(P5--P8),0)</f>
        <v>0</v>
      </c>
      <c r="Q10" s="60"/>
      <c r="R10" s="84">
        <f>IF(R5-R6&lt;0,(R5-R8),0)</f>
        <v>0</v>
      </c>
      <c r="S10" s="60"/>
      <c r="T10" s="84">
        <f>IF(T5-T6-T8&lt;0,(T5--T8),0)</f>
        <v>0</v>
      </c>
    </row>
    <row r="11" spans="2:23" s="67" customFormat="1" ht="28.8" customHeight="1">
      <c r="B11" s="78" t="s">
        <v>296</v>
      </c>
      <c r="E11" s="69" t="s">
        <v>289</v>
      </c>
      <c r="G11" s="69" t="s">
        <v>289</v>
      </c>
      <c r="H11" s="76"/>
      <c r="I11" s="69" t="s">
        <v>289</v>
      </c>
      <c r="K11" s="94"/>
    </row>
    <row r="12" spans="2:23" s="67" customFormat="1" ht="23.4" customHeight="1">
      <c r="B12" s="66" t="s">
        <v>285</v>
      </c>
      <c r="C12" s="63"/>
      <c r="D12" s="63"/>
      <c r="E12" s="102" t="s">
        <v>259</v>
      </c>
      <c r="F12" s="89"/>
      <c r="G12" s="102" t="s">
        <v>255</v>
      </c>
      <c r="H12" s="89"/>
      <c r="I12" s="102" t="s">
        <v>262</v>
      </c>
      <c r="K12" s="94"/>
      <c r="L12" s="468" t="s">
        <v>301</v>
      </c>
      <c r="M12" s="468"/>
      <c r="N12" s="468"/>
      <c r="P12" s="478" t="s">
        <v>388</v>
      </c>
      <c r="Q12" s="478"/>
      <c r="R12" s="478"/>
      <c r="S12" s="478"/>
      <c r="T12" s="478"/>
    </row>
    <row r="13" spans="2:23" s="67" customFormat="1">
      <c r="B13" s="66" t="s">
        <v>284</v>
      </c>
      <c r="C13" s="73"/>
      <c r="D13" s="74"/>
      <c r="E13" s="103">
        <v>80000</v>
      </c>
      <c r="F13" s="90"/>
      <c r="G13" s="103">
        <v>75000</v>
      </c>
      <c r="H13" s="90"/>
      <c r="I13" s="103">
        <v>45000</v>
      </c>
      <c r="K13" s="94"/>
      <c r="L13" s="481" t="s">
        <v>303</v>
      </c>
      <c r="M13" s="482"/>
      <c r="N13" s="483"/>
      <c r="P13" s="83">
        <f>E23-P8</f>
        <v>323.12499999999994</v>
      </c>
      <c r="Q13" s="59"/>
      <c r="R13" s="83">
        <f>P13+G23-R8</f>
        <v>859.99999999999977</v>
      </c>
      <c r="S13" s="59"/>
      <c r="T13" s="83">
        <f>R13-T8</f>
        <v>846.87499999999977</v>
      </c>
    </row>
    <row r="14" spans="2:23" s="67" customFormat="1">
      <c r="B14" s="72" t="s">
        <v>286</v>
      </c>
      <c r="C14" s="73"/>
      <c r="D14" s="74"/>
      <c r="E14" s="75">
        <f>VLOOKUP(E12,'ALÍQUOTA ICMS'!$B$3:$D$30,2,0)</f>
        <v>7.0000000000000007E-2</v>
      </c>
      <c r="F14" s="85"/>
      <c r="G14" s="75">
        <f>VLOOKUP(G12,'ALÍQUOTA ICMS'!$B$3:$D$30,2,0)</f>
        <v>0.12</v>
      </c>
      <c r="H14" s="85"/>
      <c r="I14" s="75">
        <f>IFERROR(VLOOKUP(I12,'ALÍQUOTA ICMS'!$B$3:$D$30,2,0),"")</f>
        <v>7.0000000000000007E-2</v>
      </c>
      <c r="K14" s="94"/>
      <c r="L14" s="484"/>
      <c r="M14" s="484"/>
      <c r="N14" s="484"/>
      <c r="P14" s="98"/>
      <c r="Q14" s="99"/>
      <c r="R14" s="98"/>
      <c r="S14" s="99"/>
      <c r="T14" s="98"/>
    </row>
    <row r="15" spans="2:23" s="67" customFormat="1">
      <c r="B15" s="81" t="s">
        <v>287</v>
      </c>
      <c r="C15" s="65"/>
      <c r="D15" s="65"/>
      <c r="E15" s="82">
        <f>E13*E14</f>
        <v>5600.0000000000009</v>
      </c>
      <c r="F15" s="74"/>
      <c r="G15" s="82">
        <f>G13*G14</f>
        <v>9000</v>
      </c>
      <c r="H15" s="74"/>
      <c r="I15" s="82">
        <f>I13*I14</f>
        <v>3150.0000000000005</v>
      </c>
      <c r="K15" s="94"/>
      <c r="L15" s="469" t="s">
        <v>591</v>
      </c>
      <c r="M15" s="470"/>
      <c r="N15" s="471"/>
      <c r="P15" s="84">
        <f>P6+P8</f>
        <v>5606.8750000000009</v>
      </c>
    </row>
    <row r="16" spans="2:23">
      <c r="B16" s="479"/>
      <c r="C16" s="479"/>
      <c r="D16" s="479"/>
      <c r="E16" s="479"/>
      <c r="G16" s="58"/>
      <c r="H16" s="61"/>
      <c r="I16" s="58"/>
      <c r="K16" s="95"/>
      <c r="O16" s="67"/>
    </row>
    <row r="17" spans="2:20" ht="28.2" customHeight="1">
      <c r="B17" s="92" t="s">
        <v>297</v>
      </c>
      <c r="C17" s="67"/>
      <c r="D17" s="67"/>
      <c r="E17" s="93" t="s">
        <v>289</v>
      </c>
      <c r="F17" s="67"/>
      <c r="G17" s="93" t="s">
        <v>289</v>
      </c>
      <c r="H17" s="76"/>
      <c r="I17" s="58"/>
      <c r="K17" s="95"/>
      <c r="L17" s="475" t="s">
        <v>283</v>
      </c>
      <c r="M17" s="476"/>
      <c r="N17" s="477"/>
      <c r="O17" s="67"/>
    </row>
    <row r="18" spans="2:20">
      <c r="B18" s="66" t="s">
        <v>285</v>
      </c>
      <c r="C18" s="63"/>
      <c r="D18" s="63"/>
      <c r="E18" s="102" t="s">
        <v>271</v>
      </c>
      <c r="F18" s="89"/>
      <c r="G18" s="102" t="s">
        <v>271</v>
      </c>
      <c r="H18" s="89"/>
      <c r="I18" s="58"/>
      <c r="K18" s="95"/>
      <c r="L18" s="67"/>
      <c r="M18" s="79"/>
      <c r="N18" s="67"/>
    </row>
    <row r="19" spans="2:20">
      <c r="B19" s="66" t="s">
        <v>284</v>
      </c>
      <c r="C19" s="73"/>
      <c r="D19" s="74"/>
      <c r="E19" s="103">
        <v>3000</v>
      </c>
      <c r="F19" s="90"/>
      <c r="G19" s="103">
        <v>5000</v>
      </c>
      <c r="H19" s="90"/>
      <c r="I19" s="58"/>
      <c r="K19" s="95"/>
      <c r="L19" s="67"/>
      <c r="M19" s="67"/>
      <c r="N19" s="67"/>
      <c r="O19" s="80"/>
      <c r="P19" s="97"/>
      <c r="R19" s="97"/>
      <c r="T19" s="97"/>
    </row>
    <row r="20" spans="2:20">
      <c r="B20" s="66" t="s">
        <v>300</v>
      </c>
      <c r="C20" s="73"/>
      <c r="D20" s="74"/>
      <c r="E20" s="96">
        <v>0.18</v>
      </c>
      <c r="F20" s="90"/>
      <c r="G20" s="96">
        <v>0.18</v>
      </c>
      <c r="H20" s="90"/>
      <c r="I20" s="58"/>
      <c r="K20" s="95"/>
      <c r="P20" s="98"/>
      <c r="Q20" s="99"/>
      <c r="R20" s="98"/>
      <c r="S20" s="99"/>
      <c r="T20" s="98"/>
    </row>
    <row r="21" spans="2:20" ht="23.4" customHeight="1">
      <c r="B21" s="72" t="s">
        <v>299</v>
      </c>
      <c r="C21" s="73"/>
      <c r="D21" s="74"/>
      <c r="E21" s="75">
        <f>VLOOKUP(E18,'ALÍQUOTA ICMS'!$B$3:$D$30,2,0)</f>
        <v>7.0000000000000007E-2</v>
      </c>
      <c r="F21" s="85"/>
      <c r="G21" s="75">
        <f>VLOOKUP(G18,'ALÍQUOTA ICMS'!$B$3:$D$30,2,0)</f>
        <v>7.0000000000000007E-2</v>
      </c>
      <c r="H21" s="85"/>
      <c r="I21" s="58"/>
      <c r="K21" s="95"/>
      <c r="L21" s="80"/>
      <c r="M21" s="80"/>
      <c r="N21" s="80"/>
    </row>
    <row r="22" spans="2:20">
      <c r="B22" s="72" t="s">
        <v>298</v>
      </c>
      <c r="C22" s="73"/>
      <c r="D22" s="74"/>
      <c r="E22" s="75">
        <f>E20-E21</f>
        <v>0.10999999999999999</v>
      </c>
      <c r="F22" s="85"/>
      <c r="G22" s="75">
        <f>G20-G21</f>
        <v>0.10999999999999999</v>
      </c>
      <c r="H22" s="85"/>
      <c r="I22" s="58"/>
      <c r="K22" s="95"/>
    </row>
    <row r="23" spans="2:20">
      <c r="B23" s="81" t="s">
        <v>287</v>
      </c>
      <c r="C23" s="65"/>
      <c r="D23" s="65"/>
      <c r="E23" s="82">
        <f>E19*E22</f>
        <v>329.99999999999994</v>
      </c>
      <c r="F23" s="74"/>
      <c r="G23" s="82">
        <f>G19*G22</f>
        <v>549.99999999999989</v>
      </c>
      <c r="H23" s="74"/>
      <c r="I23" s="58"/>
      <c r="K23" s="95"/>
    </row>
    <row r="24" spans="2:20" ht="8.4" customHeight="1">
      <c r="B24" s="63"/>
      <c r="C24" s="63"/>
      <c r="D24" s="63"/>
      <c r="E24" s="63"/>
      <c r="G24" s="58"/>
      <c r="H24" s="61"/>
      <c r="I24" s="58"/>
    </row>
    <row r="25" spans="2:20">
      <c r="B25" s="66" t="s">
        <v>285</v>
      </c>
      <c r="C25" s="63"/>
      <c r="D25" s="63"/>
      <c r="E25" s="102" t="s">
        <v>249</v>
      </c>
      <c r="F25" s="90"/>
      <c r="G25" s="103">
        <f>G23/48</f>
        <v>11.45833333333333</v>
      </c>
      <c r="H25" s="61"/>
      <c r="I25" s="58"/>
    </row>
    <row r="26" spans="2:20">
      <c r="B26" s="66" t="s">
        <v>284</v>
      </c>
      <c r="C26" s="73"/>
      <c r="D26" s="74"/>
      <c r="E26" s="103">
        <v>5000</v>
      </c>
      <c r="L26" s="62"/>
      <c r="M26" s="62"/>
    </row>
    <row r="27" spans="2:20">
      <c r="B27" s="66" t="s">
        <v>300</v>
      </c>
      <c r="C27" s="73"/>
      <c r="D27" s="74"/>
      <c r="E27" s="96">
        <v>0.18</v>
      </c>
    </row>
    <row r="28" spans="2:20">
      <c r="B28" s="72" t="s">
        <v>299</v>
      </c>
      <c r="C28" s="73"/>
      <c r="D28" s="74"/>
      <c r="E28" s="75">
        <f>VLOOKUP(E25,'ALÍQUOTA ICMS'!$B$3:$D$30,2,0)</f>
        <v>0.12</v>
      </c>
    </row>
    <row r="29" spans="2:20">
      <c r="B29" s="72" t="s">
        <v>298</v>
      </c>
      <c r="C29" s="73"/>
      <c r="D29" s="74"/>
      <c r="E29" s="75">
        <f>E27-E28</f>
        <v>0.06</v>
      </c>
    </row>
    <row r="30" spans="2:20">
      <c r="B30" s="81" t="s">
        <v>287</v>
      </c>
      <c r="C30" s="65"/>
      <c r="D30" s="65"/>
      <c r="E30" s="82">
        <f>E26*E29</f>
        <v>300</v>
      </c>
    </row>
    <row r="31" spans="2:20">
      <c r="B31" s="57"/>
      <c r="C31" s="63"/>
      <c r="D31" s="63"/>
    </row>
    <row r="32" spans="2:20">
      <c r="B32" s="66" t="s">
        <v>467</v>
      </c>
      <c r="C32" s="73"/>
      <c r="D32" s="74"/>
      <c r="E32" s="103">
        <f>(E23+E30)/48</f>
        <v>13.125</v>
      </c>
    </row>
    <row r="33" spans="2:9">
      <c r="B33" s="63"/>
      <c r="C33" s="63"/>
      <c r="D33" s="63"/>
      <c r="E33" s="63"/>
      <c r="G33" s="58"/>
      <c r="H33" s="61"/>
      <c r="I33" s="58"/>
    </row>
    <row r="35" spans="2:9">
      <c r="B35" s="57"/>
      <c r="C35" s="67"/>
      <c r="D35" s="67"/>
      <c r="E35" s="67"/>
    </row>
    <row r="42" spans="2:9">
      <c r="B42" s="57"/>
    </row>
    <row r="43" spans="2:9">
      <c r="B43" s="57"/>
    </row>
    <row r="44" spans="2:9">
      <c r="B44" s="57"/>
    </row>
    <row r="45" spans="2:9">
      <c r="B45" s="57"/>
    </row>
    <row r="46" spans="2:9">
      <c r="B46" s="57"/>
    </row>
    <row r="47" spans="2:9">
      <c r="B47" s="57"/>
    </row>
    <row r="48" spans="2:9">
      <c r="B48" s="57"/>
    </row>
    <row r="49" spans="2:2">
      <c r="B49" s="57"/>
    </row>
    <row r="50" spans="2:2">
      <c r="B50" s="57"/>
    </row>
    <row r="51" spans="2:2">
      <c r="B51" s="57"/>
    </row>
    <row r="52" spans="2:2">
      <c r="B52" s="57"/>
    </row>
    <row r="53" spans="2:2">
      <c r="B53" s="57"/>
    </row>
    <row r="54" spans="2:2">
      <c r="B54" s="57"/>
    </row>
    <row r="55" spans="2:2">
      <c r="B55" s="57"/>
    </row>
    <row r="56" spans="2:2">
      <c r="B56" s="57"/>
    </row>
    <row r="57" spans="2:2">
      <c r="B57" s="57"/>
    </row>
    <row r="58" spans="2:2">
      <c r="B58" s="57"/>
    </row>
    <row r="59" spans="2:2">
      <c r="B59" s="57"/>
    </row>
    <row r="60" spans="2:2">
      <c r="B60" s="57"/>
    </row>
    <row r="61" spans="2:2">
      <c r="B61" s="57"/>
    </row>
    <row r="62" spans="2:2">
      <c r="B62" s="57"/>
    </row>
    <row r="106" spans="5:5">
      <c r="E106" s="64"/>
    </row>
  </sheetData>
  <mergeCells count="15">
    <mergeCell ref="L17:N17"/>
    <mergeCell ref="P12:T12"/>
    <mergeCell ref="B16:E16"/>
    <mergeCell ref="B3:E3"/>
    <mergeCell ref="L12:N12"/>
    <mergeCell ref="L5:N5"/>
    <mergeCell ref="L13:N13"/>
    <mergeCell ref="L14:N14"/>
    <mergeCell ref="L10:N10"/>
    <mergeCell ref="L15:N15"/>
    <mergeCell ref="L2:N2"/>
    <mergeCell ref="L6:N6"/>
    <mergeCell ref="L7:N7"/>
    <mergeCell ref="L8:N8"/>
    <mergeCell ref="L9:N9"/>
  </mergeCells>
  <conditionalFormatting sqref="P7:T7">
    <cfRule type="cellIs" dxfId="10" priority="1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G25" unlocked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35D21-A092-4EDE-9031-EE5ACB292103}">
  <dimension ref="B2:I11"/>
  <sheetViews>
    <sheetView showGridLines="0" showRowColHeaders="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21"/>
  <cols>
    <col min="1" max="1" width="8.88671875" style="86"/>
    <col min="2" max="2" width="39.5546875" style="86" bestFit="1" customWidth="1"/>
    <col min="3" max="3" width="1" style="86" customWidth="1"/>
    <col min="4" max="4" width="1.21875" style="86" customWidth="1"/>
    <col min="5" max="5" width="18.33203125" style="86" bestFit="1" customWidth="1"/>
    <col min="6" max="6" width="1" style="86" customWidth="1"/>
    <col min="7" max="7" width="18.33203125" style="86" bestFit="1" customWidth="1"/>
    <col min="8" max="8" width="1.109375" style="86" customWidth="1"/>
    <col min="9" max="9" width="18.33203125" style="86" bestFit="1" customWidth="1"/>
    <col min="10" max="16384" width="8.88671875" style="86"/>
  </cols>
  <sheetData>
    <row r="2" spans="2:9" ht="27.6">
      <c r="B2" s="105" t="s">
        <v>278</v>
      </c>
      <c r="E2" s="112" t="s">
        <v>544</v>
      </c>
      <c r="F2" s="111"/>
      <c r="G2" s="112" t="s">
        <v>545</v>
      </c>
      <c r="H2" s="111"/>
      <c r="I2" s="112" t="s">
        <v>546</v>
      </c>
    </row>
    <row r="3" spans="2:9" ht="5.4" customHeight="1"/>
    <row r="4" spans="2:9" ht="5.4" customHeight="1"/>
    <row r="5" spans="2:9">
      <c r="B5" s="106" t="s">
        <v>304</v>
      </c>
      <c r="E5" s="113" t="s">
        <v>308</v>
      </c>
      <c r="F5" s="114"/>
      <c r="G5" s="113" t="s">
        <v>308</v>
      </c>
      <c r="H5" s="114"/>
      <c r="I5" s="113" t="s">
        <v>308</v>
      </c>
    </row>
    <row r="6" spans="2:9">
      <c r="B6" s="106" t="s">
        <v>284</v>
      </c>
      <c r="E6" s="121">
        <v>5000</v>
      </c>
      <c r="F6" s="120"/>
      <c r="G6" s="121">
        <v>5000</v>
      </c>
      <c r="H6" s="120"/>
      <c r="I6" s="121">
        <v>5000</v>
      </c>
    </row>
    <row r="7" spans="2:9">
      <c r="B7" s="106" t="s">
        <v>286</v>
      </c>
      <c r="E7" s="116">
        <v>0.05</v>
      </c>
      <c r="F7" s="115"/>
      <c r="G7" s="116">
        <v>0.05</v>
      </c>
      <c r="H7" s="115"/>
      <c r="I7" s="116">
        <v>0.05</v>
      </c>
    </row>
    <row r="8" spans="2:9">
      <c r="B8" s="107" t="s">
        <v>305</v>
      </c>
      <c r="E8" s="117">
        <f>E6*E7</f>
        <v>250</v>
      </c>
      <c r="G8" s="117">
        <f>G6*G7</f>
        <v>250</v>
      </c>
      <c r="I8" s="117">
        <f>I6*I7</f>
        <v>250</v>
      </c>
    </row>
    <row r="9" spans="2:9" s="110" customFormat="1">
      <c r="B9" s="109" t="s">
        <v>315</v>
      </c>
      <c r="E9" s="121">
        <v>0</v>
      </c>
      <c r="F9" s="120"/>
      <c r="G9" s="121">
        <v>0</v>
      </c>
      <c r="H9" s="120"/>
      <c r="I9" s="121">
        <v>100</v>
      </c>
    </row>
    <row r="10" spans="2:9">
      <c r="B10" s="108" t="s">
        <v>306</v>
      </c>
      <c r="E10" s="118">
        <f>IF(E8-E9&gt;0,(E8-E9),0)</f>
        <v>250</v>
      </c>
      <c r="F10" s="119"/>
      <c r="G10" s="118">
        <f>IF(G8-G9&gt;0,(G8-G9),0)</f>
        <v>250</v>
      </c>
      <c r="H10" s="119"/>
      <c r="I10" s="118">
        <f>IF(I8-I9&gt;0,(I8-I9),0)</f>
        <v>150</v>
      </c>
    </row>
    <row r="11" spans="2:9">
      <c r="B11" s="108" t="s">
        <v>307</v>
      </c>
      <c r="E11" s="118">
        <f>IF(E8-E9&lt;0,(E8-E9),0)</f>
        <v>0</v>
      </c>
      <c r="F11" s="119"/>
      <c r="G11" s="118">
        <f>IF(G8-G9&lt;0,(G8-G9),0)</f>
        <v>0</v>
      </c>
      <c r="H11" s="119"/>
      <c r="I11" s="118">
        <f>IF(I8-I9&lt;0,(I8-I9),0)</f>
        <v>0</v>
      </c>
    </row>
  </sheetData>
  <sheetProtection algorithmName="SHA-512" hashValue="2bIgeQdCqmqI8C6wVxe5CW3lF+MNkA949bczeac8Gh0k5dE6rEaAtDkyGNoSWA8fcYe8l7317vPWfYT4Oc93ew==" saltValue="cljKMEqyYTE8V/50NaaZIQ==" spinCount="100000" sheet="1" objects="1" scenarios="1"/>
  <conditionalFormatting sqref="E11:I11">
    <cfRule type="cellIs" dxfId="9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A202E-13FE-498A-8092-4268630759B1}">
  <dimension ref="B1:I60"/>
  <sheetViews>
    <sheetView showGridLines="0" showRowColHeaders="0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9.8" outlineLevelRow="1" outlineLevelCol="1"/>
  <cols>
    <col min="1" max="1" width="8.88671875" style="123"/>
    <col min="2" max="2" width="68.21875" style="123" bestFit="1" customWidth="1"/>
    <col min="3" max="4" width="1" style="123" customWidth="1"/>
    <col min="5" max="5" width="18.33203125" style="123" bestFit="1" customWidth="1"/>
    <col min="6" max="6" width="0.77734375" style="123" customWidth="1"/>
    <col min="7" max="7" width="18.33203125" style="123" customWidth="1" outlineLevel="1"/>
    <col min="8" max="8" width="0.6640625" style="123" customWidth="1" outlineLevel="1"/>
    <col min="9" max="9" width="18.33203125" style="123" customWidth="1" outlineLevel="1"/>
    <col min="10" max="16384" width="8.88671875" style="123"/>
  </cols>
  <sheetData>
    <row r="1" spans="2:9" ht="9.6" customHeight="1"/>
    <row r="2" spans="2:9" s="124" customFormat="1" ht="22.8">
      <c r="B2" s="122" t="s">
        <v>309</v>
      </c>
      <c r="E2" s="263" t="s">
        <v>544</v>
      </c>
      <c r="F2" s="264"/>
      <c r="G2" s="263" t="s">
        <v>545</v>
      </c>
      <c r="H2" s="264"/>
      <c r="I2" s="263" t="s">
        <v>546</v>
      </c>
    </row>
    <row r="3" spans="2:9" ht="6" customHeight="1"/>
    <row r="4" spans="2:9">
      <c r="B4" s="126" t="s">
        <v>323</v>
      </c>
      <c r="E4" s="141">
        <f>ISS!E6</f>
        <v>5000</v>
      </c>
      <c r="F4" s="142"/>
      <c r="G4" s="141">
        <f>ISS!G6</f>
        <v>5000</v>
      </c>
      <c r="H4" s="142"/>
      <c r="I4" s="141">
        <f>ISS!I6</f>
        <v>5000</v>
      </c>
    </row>
    <row r="5" spans="2:9">
      <c r="B5" s="126" t="s">
        <v>324</v>
      </c>
      <c r="E5" s="141">
        <f>ICMS!E7</f>
        <v>60000</v>
      </c>
      <c r="F5" s="142"/>
      <c r="G5" s="141">
        <f>ICMS!G7</f>
        <v>90000</v>
      </c>
      <c r="H5" s="142"/>
      <c r="I5" s="141">
        <f>ICMS!I7</f>
        <v>50000</v>
      </c>
    </row>
    <row r="6" spans="2:9">
      <c r="B6" s="126" t="s">
        <v>159</v>
      </c>
      <c r="E6" s="127"/>
      <c r="F6" s="128"/>
      <c r="G6" s="127"/>
      <c r="H6" s="128"/>
      <c r="I6" s="127"/>
    </row>
    <row r="7" spans="2:9">
      <c r="B7" s="126" t="s">
        <v>147</v>
      </c>
      <c r="E7" s="127"/>
      <c r="F7" s="128"/>
      <c r="G7" s="127"/>
      <c r="H7" s="128"/>
      <c r="I7" s="127"/>
    </row>
    <row r="8" spans="2:9" ht="7.2" customHeight="1"/>
    <row r="9" spans="2:9" ht="6" customHeight="1"/>
    <row r="10" spans="2:9" ht="22.8">
      <c r="B10" s="122" t="s">
        <v>310</v>
      </c>
    </row>
    <row r="11" spans="2:9" outlineLevel="1">
      <c r="B11" s="126" t="s">
        <v>311</v>
      </c>
      <c r="E11" s="129">
        <f>E4+E5</f>
        <v>65000</v>
      </c>
      <c r="G11" s="129">
        <f>G4+G5</f>
        <v>95000</v>
      </c>
      <c r="I11" s="129">
        <f>I4+I5</f>
        <v>55000</v>
      </c>
    </row>
    <row r="12" spans="2:9" outlineLevel="1">
      <c r="B12" s="126" t="s">
        <v>312</v>
      </c>
      <c r="E12" s="130">
        <v>6.4999999999999997E-3</v>
      </c>
      <c r="F12" s="131"/>
      <c r="G12" s="130">
        <v>6.4999999999999997E-3</v>
      </c>
      <c r="H12" s="131"/>
      <c r="I12" s="130">
        <v>6.4999999999999997E-3</v>
      </c>
    </row>
    <row r="13" spans="2:9" outlineLevel="1">
      <c r="B13" s="132" t="s">
        <v>313</v>
      </c>
      <c r="C13" s="133"/>
      <c r="D13" s="133"/>
      <c r="E13" s="134">
        <f>E11*E12</f>
        <v>422.5</v>
      </c>
      <c r="F13" s="133"/>
      <c r="G13" s="134">
        <f>G11*G12</f>
        <v>617.5</v>
      </c>
      <c r="H13" s="133"/>
      <c r="I13" s="134">
        <f>I11*I12</f>
        <v>357.5</v>
      </c>
    </row>
    <row r="14" spans="2:9" s="136" customFormat="1" outlineLevel="1">
      <c r="B14" s="135" t="s">
        <v>314</v>
      </c>
      <c r="E14" s="137"/>
      <c r="G14" s="137"/>
      <c r="I14" s="137"/>
    </row>
    <row r="15" spans="2:9" outlineLevel="1">
      <c r="B15" s="138" t="s">
        <v>316</v>
      </c>
      <c r="E15" s="139">
        <f>IF(E13-E14&gt;0,(E13-E14),0)</f>
        <v>422.5</v>
      </c>
      <c r="F15" s="133"/>
      <c r="G15" s="139">
        <f>IF(G13-G14&gt;0,(G13-G14),0)</f>
        <v>617.5</v>
      </c>
      <c r="H15" s="133"/>
      <c r="I15" s="139">
        <f>IF(I13-I14&gt;0,(I13-I14),0)</f>
        <v>357.5</v>
      </c>
    </row>
    <row r="16" spans="2:9" outlineLevel="1">
      <c r="B16" s="138" t="s">
        <v>317</v>
      </c>
      <c r="E16" s="139">
        <f>IF(E13-E14&lt;0,(E13-E14),0)</f>
        <v>0</v>
      </c>
      <c r="F16" s="133"/>
      <c r="G16" s="139">
        <f>IF(G13-G14&lt;0,(G13-G14),0)</f>
        <v>0</v>
      </c>
      <c r="H16" s="133"/>
      <c r="I16" s="139">
        <f>IF(I13-I14&lt;0,(I13-I14),0)</f>
        <v>0</v>
      </c>
    </row>
    <row r="17" spans="2:9" ht="8.4" customHeight="1" outlineLevel="1">
      <c r="B17" s="138"/>
      <c r="E17" s="139"/>
      <c r="F17" s="133"/>
      <c r="G17" s="139"/>
      <c r="H17" s="133"/>
      <c r="I17" s="139"/>
    </row>
    <row r="18" spans="2:9" outlineLevel="1">
      <c r="B18" s="126" t="s">
        <v>318</v>
      </c>
      <c r="E18" s="129">
        <f>E10+E11</f>
        <v>65000</v>
      </c>
      <c r="G18" s="129">
        <f>G10+G11</f>
        <v>95000</v>
      </c>
      <c r="I18" s="129">
        <f>I10+I11</f>
        <v>55000</v>
      </c>
    </row>
    <row r="19" spans="2:9" outlineLevel="1">
      <c r="B19" s="126" t="s">
        <v>333</v>
      </c>
      <c r="E19" s="130">
        <v>0.03</v>
      </c>
      <c r="F19" s="131"/>
      <c r="G19" s="130">
        <v>0.03</v>
      </c>
      <c r="H19" s="131"/>
      <c r="I19" s="130">
        <v>0.03</v>
      </c>
    </row>
    <row r="20" spans="2:9" outlineLevel="1">
      <c r="B20" s="132" t="s">
        <v>313</v>
      </c>
      <c r="C20" s="133"/>
      <c r="D20" s="133"/>
      <c r="E20" s="134">
        <f>E18*E19</f>
        <v>1950</v>
      </c>
      <c r="F20" s="133"/>
      <c r="G20" s="134">
        <f>G18*G19</f>
        <v>2850</v>
      </c>
      <c r="H20" s="133"/>
      <c r="I20" s="134">
        <f>I18*I19</f>
        <v>1650</v>
      </c>
    </row>
    <row r="21" spans="2:9" outlineLevel="1">
      <c r="B21" s="135" t="s">
        <v>319</v>
      </c>
      <c r="C21" s="136"/>
      <c r="D21" s="136"/>
      <c r="E21" s="137"/>
      <c r="F21" s="136"/>
      <c r="G21" s="137"/>
      <c r="H21" s="136"/>
      <c r="I21" s="137"/>
    </row>
    <row r="22" spans="2:9" outlineLevel="1">
      <c r="B22" s="138" t="s">
        <v>320</v>
      </c>
      <c r="E22" s="139">
        <f>IF(E20-E21&gt;0,(E20-E21),0)</f>
        <v>1950</v>
      </c>
      <c r="F22" s="133"/>
      <c r="G22" s="139">
        <f>IF(G20-G21&gt;0,(G20-G21),0)</f>
        <v>2850</v>
      </c>
      <c r="H22" s="133"/>
      <c r="I22" s="139">
        <f>IF(I20-I21&gt;0,(I20-I21),0)</f>
        <v>1650</v>
      </c>
    </row>
    <row r="23" spans="2:9" outlineLevel="1">
      <c r="B23" s="138" t="s">
        <v>321</v>
      </c>
      <c r="E23" s="139">
        <f>IF(E20-E21&lt;0,(E20-E21),0)</f>
        <v>0</v>
      </c>
      <c r="F23" s="133"/>
      <c r="G23" s="139">
        <f>IF(G20-G21&lt;0,(G20-G21),0)</f>
        <v>0</v>
      </c>
      <c r="H23" s="133"/>
      <c r="I23" s="139">
        <f>IF(I20-I21&lt;0,(I20-I21),0)</f>
        <v>0</v>
      </c>
    </row>
    <row r="25" spans="2:9" ht="22.8">
      <c r="B25" s="122" t="s">
        <v>322</v>
      </c>
    </row>
    <row r="26" spans="2:9" outlineLevel="1">
      <c r="B26" s="126" t="s">
        <v>326</v>
      </c>
      <c r="E26" s="129">
        <f>SUM(E4:E6)</f>
        <v>65000</v>
      </c>
      <c r="G26" s="129">
        <f>SUM(G4:G6)</f>
        <v>95000</v>
      </c>
      <c r="I26" s="129">
        <f>SUM(I4:I6)</f>
        <v>55000</v>
      </c>
    </row>
    <row r="27" spans="2:9" outlineLevel="1">
      <c r="B27" s="126" t="s">
        <v>312</v>
      </c>
      <c r="E27" s="130">
        <v>1.6500000000000001E-2</v>
      </c>
      <c r="F27" s="131"/>
      <c r="G27" s="130">
        <v>1.6500000000000001E-2</v>
      </c>
      <c r="H27" s="131"/>
      <c r="I27" s="130">
        <v>1.6500000000000001E-2</v>
      </c>
    </row>
    <row r="28" spans="2:9" outlineLevel="1">
      <c r="B28" s="126" t="s">
        <v>147</v>
      </c>
      <c r="E28" s="144">
        <f>E7</f>
        <v>0</v>
      </c>
      <c r="F28" s="131"/>
      <c r="G28" s="144">
        <f>G7</f>
        <v>0</v>
      </c>
      <c r="H28" s="131"/>
      <c r="I28" s="144">
        <f>I7</f>
        <v>0</v>
      </c>
    </row>
    <row r="29" spans="2:9" outlineLevel="1">
      <c r="B29" s="126" t="s">
        <v>312</v>
      </c>
      <c r="E29" s="130">
        <v>6.4999999999999997E-3</v>
      </c>
      <c r="F29" s="131"/>
      <c r="G29" s="130">
        <v>6.4999999999999997E-3</v>
      </c>
      <c r="H29" s="131"/>
      <c r="I29" s="130">
        <v>6.4999999999999997E-3</v>
      </c>
    </row>
    <row r="30" spans="2:9" outlineLevel="1">
      <c r="B30" s="132" t="s">
        <v>330</v>
      </c>
      <c r="C30" s="133"/>
      <c r="D30" s="133"/>
      <c r="E30" s="134">
        <f>(E26*E27)+(E28*E29)</f>
        <v>1072.5</v>
      </c>
      <c r="F30" s="133"/>
      <c r="G30" s="134">
        <f>(G26*G27)+(G28*G29)</f>
        <v>1567.5</v>
      </c>
      <c r="H30" s="133"/>
      <c r="I30" s="134">
        <f>(I26*I27)+(I28*I29)</f>
        <v>907.5</v>
      </c>
    </row>
    <row r="31" spans="2:9" ht="7.2" customHeight="1" outlineLevel="1"/>
    <row r="32" spans="2:9" outlineLevel="1">
      <c r="B32" s="126" t="s">
        <v>327</v>
      </c>
      <c r="E32" s="127"/>
      <c r="F32" s="143"/>
      <c r="G32" s="127"/>
      <c r="H32" s="143"/>
      <c r="I32" s="127"/>
    </row>
    <row r="33" spans="2:9" outlineLevel="1">
      <c r="B33" s="126" t="s">
        <v>328</v>
      </c>
      <c r="E33" s="127"/>
      <c r="F33" s="143"/>
      <c r="G33" s="127"/>
      <c r="H33" s="143"/>
      <c r="I33" s="127"/>
    </row>
    <row r="34" spans="2:9" outlineLevel="1">
      <c r="B34" s="126" t="s">
        <v>329</v>
      </c>
      <c r="E34" s="127"/>
      <c r="F34" s="143"/>
      <c r="G34" s="127"/>
      <c r="H34" s="143"/>
      <c r="I34" s="127"/>
    </row>
    <row r="35" spans="2:9" outlineLevel="1">
      <c r="B35" s="126" t="s">
        <v>325</v>
      </c>
      <c r="E35" s="140">
        <f>SUM(E32:E34)</f>
        <v>0</v>
      </c>
      <c r="G35" s="140">
        <f>SUM(G32:G34)</f>
        <v>0</v>
      </c>
      <c r="I35" s="140">
        <f>SUM(I32:I34)</f>
        <v>0</v>
      </c>
    </row>
    <row r="36" spans="2:9" outlineLevel="1">
      <c r="B36" s="126" t="s">
        <v>312</v>
      </c>
      <c r="E36" s="130">
        <v>1.6500000000000001E-2</v>
      </c>
      <c r="F36" s="131"/>
      <c r="G36" s="130">
        <v>1.6500000000000001E-2</v>
      </c>
      <c r="H36" s="131"/>
      <c r="I36" s="130">
        <v>1.6500000000000001E-2</v>
      </c>
    </row>
    <row r="37" spans="2:9" outlineLevel="1">
      <c r="B37" s="132" t="s">
        <v>331</v>
      </c>
      <c r="C37" s="133"/>
      <c r="D37" s="133"/>
      <c r="E37" s="134">
        <f>E35*E36</f>
        <v>0</v>
      </c>
      <c r="F37" s="133"/>
      <c r="G37" s="134">
        <f>G35*G36</f>
        <v>0</v>
      </c>
      <c r="H37" s="133"/>
      <c r="I37" s="134">
        <f>I35*I36</f>
        <v>0</v>
      </c>
    </row>
    <row r="38" spans="2:9" ht="5.4" customHeight="1" outlineLevel="1">
      <c r="B38" s="138"/>
      <c r="C38" s="133"/>
      <c r="D38" s="133"/>
      <c r="E38" s="145"/>
      <c r="F38" s="133"/>
      <c r="G38" s="145"/>
      <c r="H38" s="133"/>
      <c r="I38" s="145"/>
    </row>
    <row r="39" spans="2:9" outlineLevel="1">
      <c r="B39" s="132" t="s">
        <v>313</v>
      </c>
      <c r="C39" s="133"/>
      <c r="D39" s="133"/>
      <c r="E39" s="134">
        <f>E30-E37</f>
        <v>1072.5</v>
      </c>
      <c r="F39" s="133"/>
      <c r="G39" s="134">
        <f>G30-G37</f>
        <v>1567.5</v>
      </c>
      <c r="H39" s="133"/>
      <c r="I39" s="134">
        <f>I30-I37</f>
        <v>907.5</v>
      </c>
    </row>
    <row r="40" spans="2:9" s="136" customFormat="1" outlineLevel="1">
      <c r="B40" s="135" t="s">
        <v>332</v>
      </c>
      <c r="E40" s="135"/>
      <c r="G40" s="135"/>
      <c r="I40" s="135"/>
    </row>
    <row r="41" spans="2:9" outlineLevel="1">
      <c r="B41" s="138" t="s">
        <v>316</v>
      </c>
      <c r="E41" s="139">
        <f>IF(E39-E40&gt;0,(E39-E40),0)</f>
        <v>1072.5</v>
      </c>
      <c r="F41" s="133"/>
      <c r="G41" s="139">
        <f>IF(G39-G40&gt;0,(G39-G40),0)</f>
        <v>1567.5</v>
      </c>
      <c r="H41" s="133"/>
      <c r="I41" s="139">
        <f>IF(I39-I40&gt;0,(I39-I40),0)</f>
        <v>907.5</v>
      </c>
    </row>
    <row r="42" spans="2:9" outlineLevel="1">
      <c r="B42" s="138" t="s">
        <v>317</v>
      </c>
      <c r="E42" s="139">
        <f>IF(E39-E40&lt;0,(E39-E40),0)</f>
        <v>0</v>
      </c>
      <c r="F42" s="133"/>
      <c r="G42" s="139">
        <f>IF(G39-G40&lt;0,(G39-G40),0)</f>
        <v>0</v>
      </c>
      <c r="H42" s="133"/>
      <c r="I42" s="139">
        <f>IF(I39-I40&lt;0,(I39-I40),0)</f>
        <v>0</v>
      </c>
    </row>
    <row r="43" spans="2:9" outlineLevel="1"/>
    <row r="44" spans="2:9" outlineLevel="1">
      <c r="B44" s="126" t="s">
        <v>334</v>
      </c>
      <c r="E44" s="129">
        <f>SUM(E22:E24)</f>
        <v>1950</v>
      </c>
      <c r="G44" s="129">
        <f>SUM(G22:G24)</f>
        <v>2850</v>
      </c>
      <c r="I44" s="129">
        <f>SUM(I22:I24)</f>
        <v>1650</v>
      </c>
    </row>
    <row r="45" spans="2:9" outlineLevel="1">
      <c r="B45" s="126" t="s">
        <v>333</v>
      </c>
      <c r="E45" s="130">
        <v>7.5999999999999998E-2</v>
      </c>
      <c r="F45" s="131"/>
      <c r="G45" s="130">
        <v>7.5999999999999998E-2</v>
      </c>
      <c r="H45" s="131"/>
      <c r="I45" s="130">
        <v>7.5999999999999998E-2</v>
      </c>
    </row>
    <row r="46" spans="2:9" outlineLevel="1">
      <c r="B46" s="126" t="s">
        <v>147</v>
      </c>
      <c r="E46" s="144">
        <f>E25</f>
        <v>0</v>
      </c>
      <c r="F46" s="131"/>
      <c r="G46" s="144">
        <f>G25</f>
        <v>0</v>
      </c>
      <c r="H46" s="131"/>
      <c r="I46" s="144">
        <f>I25</f>
        <v>0</v>
      </c>
    </row>
    <row r="47" spans="2:9" outlineLevel="1">
      <c r="B47" s="126" t="s">
        <v>333</v>
      </c>
      <c r="E47" s="130">
        <v>0.04</v>
      </c>
      <c r="F47" s="131"/>
      <c r="G47" s="130">
        <v>0.04</v>
      </c>
      <c r="H47" s="131"/>
      <c r="I47" s="130">
        <v>0.04</v>
      </c>
    </row>
    <row r="48" spans="2:9" outlineLevel="1">
      <c r="B48" s="132" t="s">
        <v>336</v>
      </c>
      <c r="C48" s="133"/>
      <c r="D48" s="133"/>
      <c r="E48" s="134">
        <f>(E44*E45)+(E46*E47)</f>
        <v>148.19999999999999</v>
      </c>
      <c r="F48" s="133"/>
      <c r="G48" s="134">
        <f>(G44*G45)+(G46*G47)</f>
        <v>216.6</v>
      </c>
      <c r="H48" s="133"/>
      <c r="I48" s="134">
        <f>(I44*I45)+(I46*I47)</f>
        <v>125.39999999999999</v>
      </c>
    </row>
    <row r="49" spans="2:9" ht="7.2" customHeight="1" outlineLevel="1"/>
    <row r="50" spans="2:9" outlineLevel="1">
      <c r="B50" s="126" t="s">
        <v>327</v>
      </c>
      <c r="E50" s="127"/>
      <c r="F50" s="143"/>
      <c r="G50" s="127"/>
      <c r="H50" s="143"/>
      <c r="I50" s="127"/>
    </row>
    <row r="51" spans="2:9" outlineLevel="1">
      <c r="B51" s="126" t="s">
        <v>328</v>
      </c>
      <c r="E51" s="127"/>
      <c r="F51" s="143"/>
      <c r="G51" s="127"/>
      <c r="H51" s="143"/>
      <c r="I51" s="127"/>
    </row>
    <row r="52" spans="2:9" outlineLevel="1">
      <c r="B52" s="126" t="s">
        <v>329</v>
      </c>
      <c r="E52" s="127"/>
      <c r="F52" s="143"/>
      <c r="G52" s="127"/>
      <c r="H52" s="143"/>
      <c r="I52" s="127"/>
    </row>
    <row r="53" spans="2:9" outlineLevel="1">
      <c r="B53" s="126" t="s">
        <v>335</v>
      </c>
      <c r="E53" s="140">
        <f>SUM(E50:E52)</f>
        <v>0</v>
      </c>
      <c r="G53" s="140">
        <f>SUM(G50:G52)</f>
        <v>0</v>
      </c>
      <c r="I53" s="140">
        <f>SUM(I50:I52)</f>
        <v>0</v>
      </c>
    </row>
    <row r="54" spans="2:9" outlineLevel="1">
      <c r="B54" s="126" t="s">
        <v>333</v>
      </c>
      <c r="E54" s="130">
        <v>7.5999999999999998E-2</v>
      </c>
      <c r="F54" s="131"/>
      <c r="G54" s="130">
        <v>7.5999999999999998E-2</v>
      </c>
      <c r="H54" s="131"/>
      <c r="I54" s="130">
        <v>7.5999999999999998E-2</v>
      </c>
    </row>
    <row r="55" spans="2:9" outlineLevel="1">
      <c r="B55" s="132" t="s">
        <v>337</v>
      </c>
      <c r="C55" s="133"/>
      <c r="D55" s="133"/>
      <c r="E55" s="134">
        <f>E53*E54</f>
        <v>0</v>
      </c>
      <c r="F55" s="133"/>
      <c r="G55" s="134">
        <f>G53*G54</f>
        <v>0</v>
      </c>
      <c r="H55" s="133"/>
      <c r="I55" s="134">
        <f>I53*I54</f>
        <v>0</v>
      </c>
    </row>
    <row r="56" spans="2:9" ht="5.4" customHeight="1" outlineLevel="1">
      <c r="B56" s="138"/>
      <c r="C56" s="133"/>
      <c r="D56" s="133"/>
      <c r="E56" s="145"/>
      <c r="F56" s="133"/>
      <c r="G56" s="145"/>
      <c r="H56" s="133"/>
      <c r="I56" s="145"/>
    </row>
    <row r="57" spans="2:9" outlineLevel="1">
      <c r="B57" s="132" t="s">
        <v>338</v>
      </c>
      <c r="C57" s="133"/>
      <c r="D57" s="133"/>
      <c r="E57" s="134">
        <f>E48-E55</f>
        <v>148.19999999999999</v>
      </c>
      <c r="F57" s="133"/>
      <c r="G57" s="134">
        <f>G48-G55</f>
        <v>216.6</v>
      </c>
      <c r="H57" s="133"/>
      <c r="I57" s="134">
        <f>I48-I55</f>
        <v>125.39999999999999</v>
      </c>
    </row>
    <row r="58" spans="2:9" s="136" customFormat="1" outlineLevel="1">
      <c r="B58" s="135" t="s">
        <v>339</v>
      </c>
      <c r="E58" s="135"/>
      <c r="G58" s="135"/>
      <c r="I58" s="135"/>
    </row>
    <row r="59" spans="2:9" outlineLevel="1">
      <c r="B59" s="138" t="s">
        <v>320</v>
      </c>
      <c r="E59" s="139">
        <f>IF(E57-E58&gt;0,(E57-E58),0)</f>
        <v>148.19999999999999</v>
      </c>
      <c r="F59" s="133"/>
      <c r="G59" s="139">
        <f>IF(G57-G58&gt;0,(G57-G58),0)</f>
        <v>216.6</v>
      </c>
      <c r="H59" s="133"/>
      <c r="I59" s="139">
        <f>IF(I57-I58&gt;0,(I57-I58),0)</f>
        <v>125.39999999999999</v>
      </c>
    </row>
    <row r="60" spans="2:9" outlineLevel="1">
      <c r="B60" s="138" t="s">
        <v>321</v>
      </c>
      <c r="E60" s="139">
        <f>IF(E57-E58&lt;0,(E57-E58),0)</f>
        <v>0</v>
      </c>
      <c r="F60" s="133"/>
      <c r="G60" s="139">
        <f>IF(G57-G58&lt;0,(G57-G58),0)</f>
        <v>0</v>
      </c>
      <c r="H60" s="133"/>
      <c r="I60" s="139">
        <f>IF(I57-I58&lt;0,(I57-I58),0)</f>
        <v>0</v>
      </c>
    </row>
  </sheetData>
  <phoneticPr fontId="34" type="noConversion"/>
  <conditionalFormatting sqref="E16:I17">
    <cfRule type="cellIs" dxfId="8" priority="4" operator="lessThan">
      <formula>0</formula>
    </cfRule>
  </conditionalFormatting>
  <conditionalFormatting sqref="E23:I23">
    <cfRule type="cellIs" dxfId="7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F18B-EC64-44E9-B30A-1825DB96C6D7}">
  <dimension ref="B1:L88"/>
  <sheetViews>
    <sheetView showGridLines="0" showRowColHeaders="0" zoomScale="80" zoomScaleNormal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10" sqref="B10:K29"/>
    </sheetView>
  </sheetViews>
  <sheetFormatPr defaultRowHeight="19.8" outlineLevelRow="1" outlineLevelCol="1"/>
  <cols>
    <col min="1" max="1" width="8.88671875" style="123"/>
    <col min="2" max="2" width="89.44140625" style="123" bestFit="1" customWidth="1"/>
    <col min="3" max="4" width="1" style="123" customWidth="1"/>
    <col min="5" max="5" width="18.33203125" style="123" customWidth="1" outlineLevel="1"/>
    <col min="6" max="6" width="0.77734375" style="123" customWidth="1" outlineLevel="1"/>
    <col min="7" max="7" width="18.33203125" style="123" customWidth="1" outlineLevel="1"/>
    <col min="8" max="8" width="0.6640625" style="123" customWidth="1" outlineLevel="1"/>
    <col min="9" max="9" width="18.33203125" style="123" customWidth="1" outlineLevel="1"/>
    <col min="10" max="10" width="4" style="123" customWidth="1"/>
    <col min="11" max="11" width="18.33203125" style="123" bestFit="1" customWidth="1"/>
    <col min="12" max="16384" width="8.88671875" style="123"/>
  </cols>
  <sheetData>
    <row r="1" spans="2:11" ht="9.6" customHeight="1"/>
    <row r="2" spans="2:11" s="124" customFormat="1" ht="22.8">
      <c r="B2" s="122" t="s">
        <v>340</v>
      </c>
      <c r="E2" s="125" t="s">
        <v>544</v>
      </c>
      <c r="G2" s="125" t="s">
        <v>545</v>
      </c>
      <c r="I2" s="125" t="s">
        <v>546</v>
      </c>
      <c r="K2" s="353" t="s">
        <v>685</v>
      </c>
    </row>
    <row r="3" spans="2:11" ht="6" customHeight="1">
      <c r="J3" s="124"/>
    </row>
    <row r="4" spans="2:11">
      <c r="B4" s="126" t="s">
        <v>323</v>
      </c>
      <c r="E4" s="141">
        <v>3000</v>
      </c>
      <c r="F4" s="142"/>
      <c r="G4" s="141">
        <f>ISS!G6</f>
        <v>5000</v>
      </c>
      <c r="H4" s="142"/>
      <c r="I4" s="141">
        <f>ISS!I6</f>
        <v>5000</v>
      </c>
      <c r="J4" s="124"/>
      <c r="K4" s="141">
        <f>SUM(E4:J4)</f>
        <v>13000</v>
      </c>
    </row>
    <row r="5" spans="2:11">
      <c r="B5" s="126" t="s">
        <v>324</v>
      </c>
      <c r="E5" s="141">
        <f>ICMS!E7</f>
        <v>60000</v>
      </c>
      <c r="F5" s="142"/>
      <c r="G5" s="141">
        <f>ICMS!G7</f>
        <v>90000</v>
      </c>
      <c r="H5" s="142"/>
      <c r="I5" s="141">
        <v>51000</v>
      </c>
      <c r="J5" s="124"/>
      <c r="K5" s="141">
        <f>SUM(E5:J5)</f>
        <v>201000</v>
      </c>
    </row>
    <row r="6" spans="2:11">
      <c r="B6" s="126" t="s">
        <v>159</v>
      </c>
      <c r="E6" s="351"/>
      <c r="F6" s="352"/>
      <c r="G6" s="351"/>
      <c r="H6" s="352"/>
      <c r="I6" s="351"/>
      <c r="J6" s="124"/>
      <c r="K6" s="351">
        <v>500</v>
      </c>
    </row>
    <row r="7" spans="2:11">
      <c r="B7" s="126" t="s">
        <v>147</v>
      </c>
      <c r="E7" s="127"/>
      <c r="F7" s="128"/>
      <c r="G7" s="127"/>
      <c r="H7" s="128"/>
      <c r="I7" s="127"/>
      <c r="J7" s="124"/>
      <c r="K7" s="127"/>
    </row>
    <row r="8" spans="2:11" ht="7.2" customHeight="1">
      <c r="J8" s="124"/>
    </row>
    <row r="9" spans="2:11" ht="6" customHeight="1">
      <c r="J9" s="124"/>
    </row>
    <row r="10" spans="2:11" ht="22.8">
      <c r="B10" s="122" t="s">
        <v>341</v>
      </c>
      <c r="J10" s="124"/>
    </row>
    <row r="11" spans="2:11" outlineLevel="1">
      <c r="B11" s="126" t="s">
        <v>343</v>
      </c>
      <c r="E11" s="146">
        <v>0.32</v>
      </c>
      <c r="G11" s="146">
        <v>0.32</v>
      </c>
      <c r="I11" s="146">
        <v>0.32</v>
      </c>
      <c r="J11" s="124"/>
      <c r="K11" s="146">
        <v>0.32</v>
      </c>
    </row>
    <row r="12" spans="2:11" outlineLevel="1">
      <c r="B12" s="126" t="s">
        <v>344</v>
      </c>
      <c r="E12" s="129">
        <f>E4*E11</f>
        <v>960</v>
      </c>
      <c r="F12" s="131"/>
      <c r="G12" s="129">
        <f>G4*G11</f>
        <v>1600</v>
      </c>
      <c r="H12" s="131"/>
      <c r="I12" s="129">
        <f>I4*I11</f>
        <v>1600</v>
      </c>
      <c r="J12" s="124"/>
      <c r="K12" s="129">
        <f>K4*K11</f>
        <v>4160</v>
      </c>
    </row>
    <row r="13" spans="2:11" outlineLevel="1">
      <c r="B13" s="126" t="s">
        <v>345</v>
      </c>
      <c r="E13" s="146">
        <v>0.08</v>
      </c>
      <c r="G13" s="146">
        <v>0.08</v>
      </c>
      <c r="I13" s="146">
        <v>0.08</v>
      </c>
      <c r="J13" s="124"/>
      <c r="K13" s="146">
        <v>0.08</v>
      </c>
    </row>
    <row r="14" spans="2:11" outlineLevel="1">
      <c r="B14" s="126" t="s">
        <v>346</v>
      </c>
      <c r="E14" s="129">
        <f>E5*E13</f>
        <v>4800</v>
      </c>
      <c r="F14" s="131"/>
      <c r="G14" s="129">
        <f>G5*G13</f>
        <v>7200</v>
      </c>
      <c r="H14" s="131"/>
      <c r="I14" s="129">
        <f>I5*I13</f>
        <v>4080</v>
      </c>
      <c r="J14" s="124"/>
      <c r="K14" s="129">
        <f>K5*K13</f>
        <v>16080</v>
      </c>
    </row>
    <row r="15" spans="2:11" outlineLevel="1">
      <c r="B15" s="132" t="s">
        <v>347</v>
      </c>
      <c r="C15" s="133"/>
      <c r="D15" s="133"/>
      <c r="E15" s="134">
        <f>E12+E14</f>
        <v>5760</v>
      </c>
      <c r="F15" s="133"/>
      <c r="G15" s="134">
        <f>G12+G14</f>
        <v>8800</v>
      </c>
      <c r="H15" s="133"/>
      <c r="I15" s="134">
        <f>I12+I14</f>
        <v>5680</v>
      </c>
      <c r="J15" s="124"/>
      <c r="K15" s="134">
        <f>K12+K14</f>
        <v>20240</v>
      </c>
    </row>
    <row r="16" spans="2:11" outlineLevel="1">
      <c r="B16" s="126" t="s">
        <v>364</v>
      </c>
      <c r="C16" s="133"/>
      <c r="D16" s="133"/>
      <c r="E16" s="147">
        <f>E6+E7</f>
        <v>0</v>
      </c>
      <c r="F16" s="133"/>
      <c r="G16" s="147">
        <f>G6+G7</f>
        <v>0</v>
      </c>
      <c r="H16" s="133"/>
      <c r="I16" s="147">
        <f>I6+I7</f>
        <v>0</v>
      </c>
      <c r="J16" s="124"/>
      <c r="K16" s="147">
        <f>K6+K7</f>
        <v>500</v>
      </c>
    </row>
    <row r="17" spans="2:11" outlineLevel="1">
      <c r="B17" s="138" t="s">
        <v>365</v>
      </c>
      <c r="C17" s="133"/>
      <c r="D17" s="133"/>
      <c r="E17" s="145">
        <f>E15+E16</f>
        <v>5760</v>
      </c>
      <c r="F17" s="133"/>
      <c r="G17" s="145">
        <f>G15+G16</f>
        <v>8800</v>
      </c>
      <c r="H17" s="133"/>
      <c r="I17" s="145">
        <f>I15+I16</f>
        <v>5680</v>
      </c>
      <c r="J17" s="124"/>
      <c r="K17" s="145">
        <f>K15+K16</f>
        <v>20740</v>
      </c>
    </row>
    <row r="18" spans="2:11" outlineLevel="1">
      <c r="B18" s="126" t="s">
        <v>350</v>
      </c>
      <c r="E18" s="146">
        <v>0.15</v>
      </c>
      <c r="G18" s="146">
        <v>0.15</v>
      </c>
      <c r="I18" s="146">
        <v>0.15</v>
      </c>
      <c r="J18" s="124"/>
      <c r="K18" s="146">
        <v>0.15</v>
      </c>
    </row>
    <row r="19" spans="2:11" outlineLevel="1">
      <c r="B19" s="138" t="s">
        <v>348</v>
      </c>
      <c r="C19" s="133"/>
      <c r="D19" s="133"/>
      <c r="E19" s="145">
        <f>E17*E18</f>
        <v>864</v>
      </c>
      <c r="F19" s="133"/>
      <c r="G19" s="145">
        <f>G17*G18</f>
        <v>1320</v>
      </c>
      <c r="H19" s="133"/>
      <c r="I19" s="145">
        <f>I17*I18</f>
        <v>852</v>
      </c>
      <c r="J19" s="124"/>
      <c r="K19" s="145">
        <f>K17*K18</f>
        <v>3111</v>
      </c>
    </row>
    <row r="20" spans="2:11" outlineLevel="1">
      <c r="B20" s="126" t="s">
        <v>351</v>
      </c>
      <c r="C20" s="133"/>
      <c r="D20" s="133"/>
      <c r="E20" s="145">
        <f>IF(E5&gt;60000,E5-60000,0)</f>
        <v>0</v>
      </c>
      <c r="F20" s="133"/>
      <c r="G20" s="145">
        <f>IF(G5&gt;60000,G5-60000,0)</f>
        <v>30000</v>
      </c>
      <c r="H20" s="133"/>
      <c r="I20" s="145">
        <f>IF(I5&gt;60000,I5-60000,0)</f>
        <v>0</v>
      </c>
      <c r="J20" s="124"/>
      <c r="K20" s="145">
        <f>IF(K17&gt;60000,K17-60000,0)</f>
        <v>0</v>
      </c>
    </row>
    <row r="21" spans="2:11" s="136" customFormat="1" outlineLevel="1">
      <c r="B21" s="126" t="s">
        <v>349</v>
      </c>
      <c r="E21" s="146">
        <v>0.1</v>
      </c>
      <c r="F21" s="123"/>
      <c r="G21" s="146">
        <v>0.1</v>
      </c>
      <c r="H21" s="123"/>
      <c r="I21" s="146">
        <v>0.1</v>
      </c>
      <c r="J21" s="124"/>
      <c r="K21" s="146">
        <v>0.1</v>
      </c>
    </row>
    <row r="22" spans="2:11" s="136" customFormat="1" outlineLevel="1">
      <c r="B22" s="138" t="s">
        <v>352</v>
      </c>
      <c r="C22" s="133"/>
      <c r="D22" s="133"/>
      <c r="E22" s="145">
        <f>E20*E21</f>
        <v>0</v>
      </c>
      <c r="F22" s="133"/>
      <c r="G22" s="145">
        <f>G20*G21</f>
        <v>3000</v>
      </c>
      <c r="H22" s="133"/>
      <c r="I22" s="145">
        <f>I20*I21</f>
        <v>0</v>
      </c>
      <c r="J22" s="124"/>
      <c r="K22" s="145">
        <f>K20*K21</f>
        <v>0</v>
      </c>
    </row>
    <row r="23" spans="2:11" outlineLevel="1">
      <c r="B23" s="132" t="s">
        <v>353</v>
      </c>
      <c r="C23" s="133"/>
      <c r="D23" s="133"/>
      <c r="E23" s="134">
        <f>E19+E22</f>
        <v>864</v>
      </c>
      <c r="F23" s="133"/>
      <c r="G23" s="134">
        <f>G19+G22</f>
        <v>4320</v>
      </c>
      <c r="H23" s="133"/>
      <c r="I23" s="134">
        <f>I19+I22</f>
        <v>852</v>
      </c>
      <c r="J23" s="124"/>
      <c r="K23" s="134">
        <f>K19+K22</f>
        <v>3111</v>
      </c>
    </row>
    <row r="24" spans="2:11" s="136" customFormat="1" outlineLevel="1">
      <c r="B24" s="135" t="s">
        <v>354</v>
      </c>
      <c r="E24" s="137">
        <v>0</v>
      </c>
      <c r="G24" s="137">
        <v>0</v>
      </c>
      <c r="I24" s="137">
        <v>50</v>
      </c>
      <c r="J24" s="124"/>
      <c r="K24" s="137">
        <v>50</v>
      </c>
    </row>
    <row r="25" spans="2:11" outlineLevel="1">
      <c r="B25" s="138" t="s">
        <v>355</v>
      </c>
      <c r="E25" s="139">
        <f>IF(E23-E24&gt;0,(E23-E24),0)</f>
        <v>864</v>
      </c>
      <c r="F25" s="133"/>
      <c r="G25" s="139">
        <f>IF(G23-G24&gt;0,(G23-G24),0)</f>
        <v>4320</v>
      </c>
      <c r="H25" s="133"/>
      <c r="I25" s="139">
        <f>IF(I23-I24&gt;0,(I23-I24),0)</f>
        <v>802</v>
      </c>
      <c r="J25" s="124"/>
      <c r="K25" s="139">
        <f>IF(K23-K24&gt;0,(K23-K24),0)</f>
        <v>3061</v>
      </c>
    </row>
    <row r="26" spans="2:11" outlineLevel="1">
      <c r="B26" s="138" t="s">
        <v>356</v>
      </c>
      <c r="E26" s="139">
        <f>IF(E23-E24&lt;0,(E23-E24),0)</f>
        <v>0</v>
      </c>
      <c r="F26" s="133"/>
      <c r="G26" s="139">
        <f>IF(G23-G24&lt;0,(G23-G24),0)</f>
        <v>0</v>
      </c>
      <c r="H26" s="133"/>
      <c r="I26" s="139">
        <f>IF(I23-I24&lt;0,(I23-I24),0)</f>
        <v>0</v>
      </c>
      <c r="J26" s="124"/>
      <c r="K26" s="139">
        <f>IF(K23-K24&lt;0,(K23-K24),0)</f>
        <v>0</v>
      </c>
    </row>
    <row r="27" spans="2:11" ht="8.4" customHeight="1" outlineLevel="1">
      <c r="B27" s="138"/>
      <c r="E27" s="139"/>
      <c r="F27" s="133"/>
      <c r="G27" s="139"/>
      <c r="H27" s="133"/>
      <c r="I27" s="139"/>
      <c r="J27" s="124"/>
      <c r="K27" s="139"/>
    </row>
    <row r="28" spans="2:11" outlineLevel="1">
      <c r="B28" s="126" t="s">
        <v>357</v>
      </c>
      <c r="E28" s="146">
        <v>0.32</v>
      </c>
      <c r="G28" s="146">
        <v>0.32</v>
      </c>
      <c r="I28" s="146">
        <v>0.32</v>
      </c>
      <c r="J28" s="124"/>
      <c r="K28" s="146">
        <v>0.32</v>
      </c>
    </row>
    <row r="29" spans="2:11" outlineLevel="1">
      <c r="B29" s="126" t="s">
        <v>344</v>
      </c>
      <c r="E29" s="129">
        <f>E4*E28</f>
        <v>960</v>
      </c>
      <c r="F29" s="131"/>
      <c r="G29" s="129">
        <f>G4*G28</f>
        <v>1600</v>
      </c>
      <c r="H29" s="131"/>
      <c r="I29" s="129">
        <f>I4*I28</f>
        <v>1600</v>
      </c>
      <c r="J29" s="124"/>
      <c r="K29" s="129">
        <f>K4*K28</f>
        <v>4160</v>
      </c>
    </row>
    <row r="30" spans="2:11" outlineLevel="1">
      <c r="B30" s="126" t="s">
        <v>358</v>
      </c>
      <c r="E30" s="146">
        <v>0.12</v>
      </c>
      <c r="G30" s="146">
        <v>0.12</v>
      </c>
      <c r="I30" s="146">
        <v>0.12</v>
      </c>
      <c r="J30" s="124"/>
      <c r="K30" s="146">
        <v>0.12</v>
      </c>
    </row>
    <row r="31" spans="2:11" outlineLevel="1">
      <c r="B31" s="126" t="s">
        <v>346</v>
      </c>
      <c r="E31" s="129">
        <f>E5*E30</f>
        <v>7200</v>
      </c>
      <c r="F31" s="131"/>
      <c r="G31" s="129">
        <f>G5*G30</f>
        <v>10800</v>
      </c>
      <c r="H31" s="131"/>
      <c r="I31" s="129">
        <f>I5*I30</f>
        <v>6120</v>
      </c>
      <c r="J31" s="124"/>
      <c r="K31" s="129">
        <f>K5*K30</f>
        <v>24120</v>
      </c>
    </row>
    <row r="32" spans="2:11" outlineLevel="1">
      <c r="B32" s="132" t="s">
        <v>347</v>
      </c>
      <c r="C32" s="133"/>
      <c r="D32" s="133"/>
      <c r="E32" s="134">
        <f>E29+E31</f>
        <v>8160</v>
      </c>
      <c r="F32" s="133"/>
      <c r="G32" s="134">
        <f>G29+G31</f>
        <v>12400</v>
      </c>
      <c r="H32" s="133"/>
      <c r="I32" s="134">
        <f>I29+I31</f>
        <v>7720</v>
      </c>
      <c r="J32" s="124"/>
      <c r="K32" s="134">
        <f>K29+K31</f>
        <v>28280</v>
      </c>
    </row>
    <row r="33" spans="2:12" outlineLevel="1">
      <c r="B33" s="126" t="s">
        <v>364</v>
      </c>
      <c r="C33" s="133"/>
      <c r="D33" s="133"/>
      <c r="E33" s="147">
        <f>E23+E24</f>
        <v>864</v>
      </c>
      <c r="F33" s="133"/>
      <c r="G33" s="147">
        <f>G23+G24</f>
        <v>4320</v>
      </c>
      <c r="H33" s="133"/>
      <c r="I33" s="147">
        <f>I23+I24</f>
        <v>902</v>
      </c>
      <c r="J33" s="124"/>
      <c r="K33" s="147">
        <v>500</v>
      </c>
    </row>
    <row r="34" spans="2:12" outlineLevel="1">
      <c r="B34" s="138" t="s">
        <v>686</v>
      </c>
      <c r="C34" s="133"/>
      <c r="D34" s="133"/>
      <c r="E34" s="145">
        <f>E32+E33</f>
        <v>9024</v>
      </c>
      <c r="F34" s="133"/>
      <c r="G34" s="145">
        <f>G32+G33</f>
        <v>16720</v>
      </c>
      <c r="H34" s="133"/>
      <c r="I34" s="145">
        <f>I32+I33</f>
        <v>8622</v>
      </c>
      <c r="J34" s="124"/>
      <c r="K34" s="145">
        <f>K32+K33</f>
        <v>28780</v>
      </c>
    </row>
    <row r="35" spans="2:12" outlineLevel="1">
      <c r="B35" s="126" t="s">
        <v>359</v>
      </c>
      <c r="E35" s="146">
        <v>0.09</v>
      </c>
      <c r="G35" s="146">
        <v>0.09</v>
      </c>
      <c r="I35" s="146">
        <v>0.09</v>
      </c>
      <c r="J35" s="124"/>
      <c r="K35" s="146">
        <v>0.09</v>
      </c>
    </row>
    <row r="36" spans="2:12" outlineLevel="1">
      <c r="B36" s="132" t="s">
        <v>360</v>
      </c>
      <c r="C36" s="133"/>
      <c r="D36" s="133"/>
      <c r="E36" s="134">
        <f>E32*E35</f>
        <v>734.4</v>
      </c>
      <c r="F36" s="133"/>
      <c r="G36" s="134">
        <f>G32*G35</f>
        <v>1116</v>
      </c>
      <c r="H36" s="133"/>
      <c r="I36" s="134">
        <f>I32*I35</f>
        <v>694.8</v>
      </c>
      <c r="J36" s="124"/>
      <c r="K36" s="134">
        <f>K34*K35</f>
        <v>2590.1999999999998</v>
      </c>
    </row>
    <row r="37" spans="2:12" s="136" customFormat="1" outlineLevel="1">
      <c r="B37" s="135" t="s">
        <v>361</v>
      </c>
      <c r="E37" s="137">
        <v>0</v>
      </c>
      <c r="G37" s="137">
        <v>0</v>
      </c>
      <c r="I37" s="137">
        <v>50</v>
      </c>
      <c r="J37" s="124"/>
      <c r="K37" s="137">
        <v>50</v>
      </c>
      <c r="L37" s="354" t="s">
        <v>687</v>
      </c>
    </row>
    <row r="38" spans="2:12" outlineLevel="1">
      <c r="B38" s="138" t="s">
        <v>362</v>
      </c>
      <c r="E38" s="139">
        <f>IF(E36-E37&gt;0,(E36-E37),0)</f>
        <v>734.4</v>
      </c>
      <c r="F38" s="133"/>
      <c r="G38" s="139">
        <f>IF(G36-G37&gt;0,(G36-G37),0)</f>
        <v>1116</v>
      </c>
      <c r="H38" s="133"/>
      <c r="I38" s="139">
        <f>IF(I36-I37&gt;0,(I36-I37),0)</f>
        <v>644.79999999999995</v>
      </c>
      <c r="J38" s="124"/>
      <c r="K38" s="139">
        <f>IF(K36-K37&gt;0,(K36-K37),0)</f>
        <v>2540.1999999999998</v>
      </c>
    </row>
    <row r="39" spans="2:12" outlineLevel="1">
      <c r="B39" s="138" t="s">
        <v>363</v>
      </c>
      <c r="E39" s="139">
        <f>IF(E36-E37&lt;0,(E36-E37),0)</f>
        <v>0</v>
      </c>
      <c r="F39" s="133"/>
      <c r="G39" s="139">
        <f>IF(G36-G37&lt;0,(G36-G37),0)</f>
        <v>0</v>
      </c>
      <c r="H39" s="133"/>
      <c r="I39" s="139">
        <f>IF(I36-I37&lt;0,(I36-I37),0)</f>
        <v>0</v>
      </c>
      <c r="J39" s="124"/>
      <c r="K39" s="139">
        <f>IF(K36-K37&lt;0,(K36-K37),0)</f>
        <v>0</v>
      </c>
    </row>
    <row r="40" spans="2:12">
      <c r="J40" s="124"/>
    </row>
    <row r="41" spans="2:12" ht="22.8">
      <c r="B41" s="122" t="s">
        <v>342</v>
      </c>
      <c r="J41" s="124"/>
    </row>
    <row r="42" spans="2:12" ht="28.2" outlineLevel="1">
      <c r="B42" s="157" t="s">
        <v>366</v>
      </c>
      <c r="J42" s="124"/>
    </row>
    <row r="43" spans="2:12" outlineLevel="1">
      <c r="B43" s="148" t="s">
        <v>187</v>
      </c>
      <c r="E43" s="139"/>
      <c r="F43" s="152"/>
      <c r="G43" s="139"/>
      <c r="H43" s="152"/>
      <c r="I43" s="139"/>
      <c r="J43" s="124"/>
      <c r="K43" s="139"/>
    </row>
    <row r="44" spans="2:12" outlineLevel="1">
      <c r="B44" s="149" t="s">
        <v>188</v>
      </c>
      <c r="E44" s="129"/>
      <c r="F44" s="151"/>
      <c r="G44" s="129"/>
      <c r="H44" s="151"/>
      <c r="I44" s="129"/>
      <c r="J44" s="124"/>
      <c r="K44" s="129"/>
    </row>
    <row r="45" spans="2:12" outlineLevel="1">
      <c r="B45" s="149" t="s">
        <v>145</v>
      </c>
      <c r="E45" s="129"/>
      <c r="F45" s="151"/>
      <c r="G45" s="129"/>
      <c r="H45" s="151"/>
      <c r="I45" s="129"/>
      <c r="J45" s="124"/>
      <c r="K45" s="129"/>
    </row>
    <row r="46" spans="2:12" outlineLevel="1">
      <c r="B46" s="148" t="s">
        <v>189</v>
      </c>
      <c r="E46" s="139"/>
      <c r="F46" s="152"/>
      <c r="G46" s="139"/>
      <c r="H46" s="152"/>
      <c r="I46" s="139"/>
      <c r="J46" s="124"/>
      <c r="K46" s="139"/>
    </row>
    <row r="47" spans="2:12" outlineLevel="1">
      <c r="B47" s="149" t="s">
        <v>190</v>
      </c>
      <c r="E47" s="129"/>
      <c r="F47" s="151"/>
      <c r="G47" s="129"/>
      <c r="H47" s="151"/>
      <c r="I47" s="129"/>
      <c r="J47" s="124"/>
      <c r="K47" s="129"/>
    </row>
    <row r="48" spans="2:12" outlineLevel="1">
      <c r="B48" s="148" t="s">
        <v>195</v>
      </c>
      <c r="E48" s="139"/>
      <c r="F48" s="152"/>
      <c r="G48" s="139"/>
      <c r="H48" s="152"/>
      <c r="I48" s="139"/>
      <c r="J48" s="124"/>
      <c r="K48" s="139"/>
    </row>
    <row r="49" spans="2:12" outlineLevel="1">
      <c r="B49" s="150" t="s">
        <v>191</v>
      </c>
      <c r="E49" s="139"/>
      <c r="F49" s="152"/>
      <c r="G49" s="139"/>
      <c r="H49" s="152"/>
      <c r="I49" s="129"/>
      <c r="J49" s="124"/>
      <c r="K49" s="129"/>
    </row>
    <row r="50" spans="2:12" outlineLevel="1">
      <c r="B50" s="149" t="s">
        <v>169</v>
      </c>
      <c r="E50" s="129"/>
      <c r="F50" s="151"/>
      <c r="G50" s="129"/>
      <c r="H50" s="151"/>
      <c r="I50" s="129"/>
      <c r="J50" s="124"/>
      <c r="K50" s="129"/>
    </row>
    <row r="51" spans="2:12" outlineLevel="1">
      <c r="B51" s="149" t="s">
        <v>171</v>
      </c>
      <c r="E51" s="129"/>
      <c r="F51" s="151"/>
      <c r="G51" s="129"/>
      <c r="H51" s="151"/>
      <c r="I51" s="129"/>
      <c r="J51" s="124"/>
      <c r="K51" s="129"/>
    </row>
    <row r="52" spans="2:12" outlineLevel="1">
      <c r="B52" s="149" t="s">
        <v>173</v>
      </c>
      <c r="E52" s="129"/>
      <c r="F52" s="151"/>
      <c r="G52" s="129"/>
      <c r="H52" s="151"/>
      <c r="I52" s="129"/>
      <c r="J52" s="124"/>
      <c r="K52" s="129"/>
    </row>
    <row r="53" spans="2:12" outlineLevel="1">
      <c r="B53" s="148" t="s">
        <v>196</v>
      </c>
      <c r="E53" s="139"/>
      <c r="F53" s="152"/>
      <c r="G53" s="139"/>
      <c r="H53" s="152"/>
      <c r="I53" s="139"/>
      <c r="J53" s="124"/>
      <c r="K53" s="139"/>
    </row>
    <row r="54" spans="2:12" outlineLevel="1">
      <c r="B54" s="148" t="s">
        <v>192</v>
      </c>
      <c r="E54" s="139"/>
      <c r="F54" s="152"/>
      <c r="G54" s="139"/>
      <c r="H54" s="152"/>
      <c r="I54" s="139"/>
      <c r="J54" s="124"/>
      <c r="K54" s="139"/>
    </row>
    <row r="55" spans="2:12" outlineLevel="1">
      <c r="B55" s="149" t="s">
        <v>147</v>
      </c>
      <c r="E55" s="129"/>
      <c r="F55" s="151"/>
      <c r="G55" s="129"/>
      <c r="H55" s="151"/>
      <c r="I55" s="129"/>
      <c r="J55" s="124"/>
      <c r="K55" s="129"/>
    </row>
    <row r="56" spans="2:12" outlineLevel="1">
      <c r="B56" s="149" t="s">
        <v>193</v>
      </c>
      <c r="E56" s="129"/>
      <c r="F56" s="151"/>
      <c r="G56" s="129"/>
      <c r="H56" s="151"/>
      <c r="I56" s="129"/>
      <c r="J56" s="124"/>
      <c r="K56" s="129"/>
    </row>
    <row r="57" spans="2:12" outlineLevel="1">
      <c r="B57" s="148" t="s">
        <v>194</v>
      </c>
      <c r="E57" s="139"/>
      <c r="F57" s="152"/>
      <c r="G57" s="139"/>
      <c r="H57" s="152"/>
      <c r="I57" s="139"/>
      <c r="J57" s="124"/>
      <c r="K57" s="139"/>
    </row>
    <row r="58" spans="2:12" ht="17.399999999999999" customHeight="1" outlineLevel="1">
      <c r="B58" s="148" t="s">
        <v>197</v>
      </c>
      <c r="E58" s="139"/>
      <c r="F58" s="152"/>
      <c r="G58" s="139"/>
      <c r="H58" s="152"/>
      <c r="I58" s="139"/>
      <c r="J58" s="124"/>
      <c r="K58" s="139"/>
    </row>
    <row r="59" spans="2:12" outlineLevel="1">
      <c r="B59" s="149" t="s">
        <v>221</v>
      </c>
      <c r="E59" s="129"/>
      <c r="F59" s="151"/>
      <c r="G59" s="129"/>
      <c r="H59" s="151"/>
      <c r="I59" s="129"/>
      <c r="J59" s="124"/>
      <c r="K59" s="129"/>
    </row>
    <row r="60" spans="2:12" outlineLevel="1">
      <c r="B60" s="149" t="s">
        <v>222</v>
      </c>
      <c r="E60" s="129"/>
      <c r="F60" s="151"/>
      <c r="G60" s="129"/>
      <c r="H60" s="151"/>
      <c r="I60" s="129"/>
      <c r="J60" s="124"/>
      <c r="K60" s="129"/>
    </row>
    <row r="61" spans="2:12" ht="13.8" customHeight="1" outlineLevel="1">
      <c r="B61" s="486" t="s">
        <v>198</v>
      </c>
      <c r="E61" s="485"/>
      <c r="F61" s="151"/>
      <c r="G61" s="485"/>
      <c r="H61" s="151"/>
      <c r="I61" s="485"/>
      <c r="J61" s="124"/>
      <c r="K61" s="485"/>
    </row>
    <row r="62" spans="2:12" ht="13.8" customHeight="1" outlineLevel="1">
      <c r="B62" s="486"/>
      <c r="E62" s="485"/>
      <c r="F62" s="151"/>
      <c r="G62" s="485"/>
      <c r="H62" s="151"/>
      <c r="I62" s="485"/>
      <c r="J62" s="124"/>
      <c r="K62" s="485"/>
      <c r="L62" s="154"/>
    </row>
    <row r="63" spans="2:12" outlineLevel="1">
      <c r="E63" s="151"/>
      <c r="F63" s="151"/>
      <c r="G63" s="151"/>
      <c r="H63" s="151"/>
      <c r="I63" s="151"/>
      <c r="J63" s="124"/>
      <c r="K63" s="151"/>
      <c r="L63" s="155"/>
    </row>
    <row r="64" spans="2:12" ht="28.2" outlineLevel="1">
      <c r="B64" s="157" t="s">
        <v>367</v>
      </c>
      <c r="E64" s="151"/>
      <c r="F64" s="151"/>
      <c r="G64" s="151"/>
      <c r="H64" s="151"/>
      <c r="I64" s="151"/>
      <c r="J64" s="124"/>
      <c r="K64" s="151"/>
      <c r="L64" s="155"/>
    </row>
    <row r="65" spans="2:12" ht="13.2" customHeight="1" outlineLevel="1">
      <c r="B65" s="486" t="s">
        <v>198</v>
      </c>
      <c r="E65" s="485"/>
      <c r="F65" s="151"/>
      <c r="G65" s="485"/>
      <c r="H65" s="151"/>
      <c r="I65" s="485"/>
      <c r="J65" s="124"/>
      <c r="K65" s="485"/>
      <c r="L65" s="156"/>
    </row>
    <row r="66" spans="2:12" ht="12" customHeight="1" outlineLevel="1">
      <c r="B66" s="486"/>
      <c r="E66" s="485"/>
      <c r="F66" s="151"/>
      <c r="G66" s="485"/>
      <c r="H66" s="151"/>
      <c r="I66" s="485"/>
      <c r="J66" s="124"/>
      <c r="K66" s="485"/>
    </row>
    <row r="67" spans="2:12" outlineLevel="1">
      <c r="B67" s="148" t="s">
        <v>368</v>
      </c>
      <c r="E67" s="139">
        <f>E68</f>
        <v>0</v>
      </c>
      <c r="F67" s="152"/>
      <c r="G67" s="139">
        <f>G68</f>
        <v>0</v>
      </c>
      <c r="H67" s="152"/>
      <c r="I67" s="139">
        <f>I68</f>
        <v>0</v>
      </c>
      <c r="J67" s="124"/>
      <c r="K67" s="139">
        <f>K68</f>
        <v>0</v>
      </c>
    </row>
    <row r="68" spans="2:12" outlineLevel="1">
      <c r="B68" s="149" t="s">
        <v>369</v>
      </c>
      <c r="E68" s="129"/>
      <c r="F68" s="151"/>
      <c r="G68" s="129"/>
      <c r="H68" s="151"/>
      <c r="I68" s="129"/>
      <c r="J68" s="124"/>
      <c r="K68" s="129"/>
    </row>
    <row r="69" spans="2:12" outlineLevel="1">
      <c r="B69" s="148" t="s">
        <v>370</v>
      </c>
      <c r="E69" s="139">
        <f>E70</f>
        <v>0</v>
      </c>
      <c r="F69" s="152"/>
      <c r="G69" s="139">
        <f>G70</f>
        <v>0</v>
      </c>
      <c r="H69" s="152"/>
      <c r="I69" s="139">
        <f>I70</f>
        <v>0</v>
      </c>
      <c r="J69" s="124"/>
      <c r="K69" s="139">
        <f>K70</f>
        <v>0</v>
      </c>
    </row>
    <row r="70" spans="2:12" outlineLevel="1">
      <c r="B70" s="149" t="s">
        <v>371</v>
      </c>
      <c r="E70" s="129"/>
      <c r="F70" s="151"/>
      <c r="G70" s="129"/>
      <c r="H70" s="151"/>
      <c r="I70" s="129"/>
      <c r="J70" s="124"/>
      <c r="K70" s="129"/>
    </row>
    <row r="71" spans="2:12" outlineLevel="1">
      <c r="B71" s="148" t="s">
        <v>373</v>
      </c>
      <c r="E71" s="139"/>
      <c r="F71" s="152"/>
      <c r="G71" s="139"/>
      <c r="H71" s="152"/>
      <c r="I71" s="139"/>
      <c r="J71" s="124"/>
      <c r="K71" s="139"/>
    </row>
    <row r="72" spans="2:12" outlineLevel="1">
      <c r="B72" s="148" t="s">
        <v>372</v>
      </c>
      <c r="E72" s="139">
        <f>E74</f>
        <v>0</v>
      </c>
      <c r="F72" s="152"/>
      <c r="G72" s="139">
        <f>G74</f>
        <v>0</v>
      </c>
      <c r="H72" s="152"/>
      <c r="I72" s="139">
        <f>I74</f>
        <v>0</v>
      </c>
      <c r="J72" s="124"/>
      <c r="K72" s="139">
        <f>K74</f>
        <v>0</v>
      </c>
    </row>
    <row r="73" spans="2:12" outlineLevel="1">
      <c r="B73" s="149" t="s">
        <v>375</v>
      </c>
      <c r="E73" s="129"/>
      <c r="F73" s="151"/>
      <c r="G73" s="129"/>
      <c r="H73" s="151"/>
      <c r="I73" s="129"/>
      <c r="J73" s="124"/>
      <c r="K73" s="129"/>
    </row>
    <row r="74" spans="2:12" outlineLevel="1">
      <c r="B74" s="148" t="s">
        <v>374</v>
      </c>
      <c r="E74" s="139"/>
      <c r="F74" s="152"/>
      <c r="G74" s="139"/>
      <c r="H74" s="152"/>
      <c r="I74" s="139"/>
      <c r="J74" s="124"/>
      <c r="K74" s="139"/>
    </row>
    <row r="75" spans="2:12" outlineLevel="1">
      <c r="B75" s="149" t="s">
        <v>350</v>
      </c>
      <c r="E75" s="146">
        <v>0.15</v>
      </c>
      <c r="F75" s="153"/>
      <c r="G75" s="146">
        <v>0.15</v>
      </c>
      <c r="H75" s="153"/>
      <c r="I75" s="146">
        <v>0.15</v>
      </c>
      <c r="J75" s="124"/>
      <c r="K75" s="146">
        <v>0.15</v>
      </c>
    </row>
    <row r="76" spans="2:12" outlineLevel="1">
      <c r="B76" s="148" t="s">
        <v>348</v>
      </c>
      <c r="E76" s="139"/>
      <c r="F76" s="152"/>
      <c r="G76" s="139"/>
      <c r="H76" s="152"/>
      <c r="I76" s="139"/>
      <c r="J76" s="124"/>
      <c r="K76" s="139"/>
    </row>
    <row r="77" spans="2:12" outlineLevel="1">
      <c r="B77" s="126" t="s">
        <v>376</v>
      </c>
      <c r="C77" s="133"/>
      <c r="D77" s="133"/>
      <c r="E77" s="145">
        <f>IF(E72&gt;60000,(E72-60000),0)</f>
        <v>0</v>
      </c>
      <c r="F77" s="133"/>
      <c r="G77" s="145">
        <f>IF(G72&gt;60000,(G72-60000),0)</f>
        <v>0</v>
      </c>
      <c r="H77" s="133"/>
      <c r="I77" s="145">
        <f>IF(I72&gt;60000,(I72-60000),0)</f>
        <v>0</v>
      </c>
      <c r="J77" s="124"/>
      <c r="K77" s="145">
        <f>IF(K72&gt;60000,(K72-60000),0)</f>
        <v>0</v>
      </c>
    </row>
    <row r="78" spans="2:12" outlineLevel="1">
      <c r="B78" s="126" t="s">
        <v>349</v>
      </c>
      <c r="C78" s="136"/>
      <c r="D78" s="136"/>
      <c r="E78" s="146">
        <v>0.1</v>
      </c>
      <c r="G78" s="146">
        <v>0.1</v>
      </c>
      <c r="I78" s="146">
        <v>0.1</v>
      </c>
      <c r="J78" s="124"/>
      <c r="K78" s="146">
        <v>0.1</v>
      </c>
    </row>
    <row r="79" spans="2:12" outlineLevel="1">
      <c r="B79" s="138" t="s">
        <v>352</v>
      </c>
      <c r="C79" s="133"/>
      <c r="D79" s="133"/>
      <c r="E79" s="145">
        <f>E77*E78</f>
        <v>0</v>
      </c>
      <c r="F79" s="133"/>
      <c r="G79" s="145">
        <f>G77*G78</f>
        <v>0</v>
      </c>
      <c r="H79" s="133"/>
      <c r="I79" s="145">
        <f>I77*I78</f>
        <v>0</v>
      </c>
      <c r="J79" s="124"/>
      <c r="K79" s="145">
        <f>K77*K78</f>
        <v>0</v>
      </c>
    </row>
    <row r="80" spans="2:12" outlineLevel="1">
      <c r="B80" s="132" t="s">
        <v>353</v>
      </c>
      <c r="C80" s="133"/>
      <c r="D80" s="133"/>
      <c r="E80" s="134">
        <f>E76+E79</f>
        <v>0</v>
      </c>
      <c r="F80" s="133"/>
      <c r="G80" s="134">
        <f>G76+G79</f>
        <v>0</v>
      </c>
      <c r="H80" s="133"/>
      <c r="I80" s="134">
        <f>I76+I79</f>
        <v>0</v>
      </c>
      <c r="J80" s="124"/>
      <c r="K80" s="134">
        <f>K76+K79</f>
        <v>0</v>
      </c>
    </row>
    <row r="81" spans="2:11" outlineLevel="1">
      <c r="B81" s="135" t="s">
        <v>354</v>
      </c>
      <c r="C81" s="136"/>
      <c r="D81" s="136"/>
      <c r="E81" s="137"/>
      <c r="F81" s="136"/>
      <c r="G81" s="137"/>
      <c r="H81" s="136"/>
      <c r="I81" s="137"/>
      <c r="J81" s="124"/>
      <c r="K81" s="137"/>
    </row>
    <row r="82" spans="2:11" outlineLevel="1">
      <c r="B82" s="138" t="s">
        <v>355</v>
      </c>
      <c r="E82" s="139">
        <f>IF(E80-E81&gt;0,(E80-E81),0)</f>
        <v>0</v>
      </c>
      <c r="F82" s="133"/>
      <c r="G82" s="139">
        <f>IF(G80-G81&gt;0,(G80-G81),0)</f>
        <v>0</v>
      </c>
      <c r="H82" s="133"/>
      <c r="I82" s="139">
        <f>IF(I80-I81&gt;0,(I80-I81),0)</f>
        <v>0</v>
      </c>
      <c r="J82" s="124"/>
      <c r="K82" s="139">
        <f>IF(K80-K81&gt;0,(K80-K81),0)</f>
        <v>0</v>
      </c>
    </row>
    <row r="83" spans="2:11" outlineLevel="1">
      <c r="B83" s="138" t="s">
        <v>356</v>
      </c>
      <c r="E83" s="139">
        <f>IF(E80-E81&lt;0,(E80-E81),0)</f>
        <v>0</v>
      </c>
      <c r="F83" s="133"/>
      <c r="G83" s="139">
        <f>IF(G80-G81&lt;0,(G80-G81),0)</f>
        <v>0</v>
      </c>
      <c r="H83" s="133"/>
      <c r="I83" s="139">
        <f>IF(I80-I81&lt;0,(I80-I81),0)</f>
        <v>0</v>
      </c>
      <c r="J83" s="124"/>
      <c r="K83" s="139">
        <f>IF(K80-K81&lt;0,(K80-K81),0)</f>
        <v>0</v>
      </c>
    </row>
    <row r="84" spans="2:11" outlineLevel="1">
      <c r="B84" s="126" t="s">
        <v>359</v>
      </c>
      <c r="E84" s="146">
        <v>0.09</v>
      </c>
      <c r="G84" s="146">
        <v>0.09</v>
      </c>
      <c r="I84" s="146">
        <v>0.09</v>
      </c>
      <c r="J84" s="124"/>
      <c r="K84" s="146">
        <v>0.09</v>
      </c>
    </row>
    <row r="85" spans="2:11" outlineLevel="1">
      <c r="B85" s="132" t="s">
        <v>360</v>
      </c>
      <c r="C85" s="133"/>
      <c r="D85" s="133"/>
      <c r="E85" s="134">
        <f>E83*E84</f>
        <v>0</v>
      </c>
      <c r="F85" s="133"/>
      <c r="G85" s="134">
        <f>G83*G84</f>
        <v>0</v>
      </c>
      <c r="H85" s="133"/>
      <c r="I85" s="134">
        <f>I83*I84</f>
        <v>0</v>
      </c>
      <c r="J85" s="124"/>
      <c r="K85" s="134">
        <f>K83*K84</f>
        <v>0</v>
      </c>
    </row>
    <row r="86" spans="2:11" outlineLevel="1">
      <c r="B86" s="135" t="s">
        <v>361</v>
      </c>
      <c r="C86" s="136"/>
      <c r="D86" s="136"/>
      <c r="E86" s="137"/>
      <c r="F86" s="136"/>
      <c r="G86" s="137"/>
      <c r="H86" s="136"/>
      <c r="I86" s="137"/>
      <c r="J86" s="124"/>
      <c r="K86" s="137"/>
    </row>
    <row r="87" spans="2:11" outlineLevel="1">
      <c r="B87" s="138" t="s">
        <v>362</v>
      </c>
      <c r="E87" s="139">
        <f>IF(E85-E86&gt;0,(E85-E86),0)</f>
        <v>0</v>
      </c>
      <c r="F87" s="133"/>
      <c r="G87" s="139">
        <f>IF(G85-G86&gt;0,(G85-G86),0)</f>
        <v>0</v>
      </c>
      <c r="H87" s="133"/>
      <c r="I87" s="139">
        <f>IF(I85-I86&gt;0,(I85-I86),0)</f>
        <v>0</v>
      </c>
      <c r="J87" s="124"/>
      <c r="K87" s="139">
        <f>IF(K85-K86&gt;0,(K85-K86),0)</f>
        <v>0</v>
      </c>
    </row>
    <row r="88" spans="2:11" outlineLevel="1">
      <c r="B88" s="138" t="s">
        <v>363</v>
      </c>
      <c r="E88" s="139">
        <f>IF(E85-E86&lt;0,(E85-E86),0)</f>
        <v>0</v>
      </c>
      <c r="F88" s="133"/>
      <c r="G88" s="139">
        <f>IF(G85-G86&lt;0,(G85-G86),0)</f>
        <v>0</v>
      </c>
      <c r="H88" s="133"/>
      <c r="I88" s="139">
        <f>IF(I85-I86&lt;0,(I85-I86),0)</f>
        <v>0</v>
      </c>
      <c r="J88" s="350"/>
      <c r="K88" s="139">
        <f>IF(K85-K86&lt;0,(K85-K86),0)</f>
        <v>0</v>
      </c>
    </row>
  </sheetData>
  <mergeCells count="10">
    <mergeCell ref="K61:K62"/>
    <mergeCell ref="K65:K66"/>
    <mergeCell ref="B61:B62"/>
    <mergeCell ref="E61:E62"/>
    <mergeCell ref="G61:G62"/>
    <mergeCell ref="I61:I62"/>
    <mergeCell ref="B65:B66"/>
    <mergeCell ref="E65:E66"/>
    <mergeCell ref="G65:G66"/>
    <mergeCell ref="I65:I66"/>
  </mergeCells>
  <conditionalFormatting sqref="E26:I27">
    <cfRule type="cellIs" dxfId="6" priority="8" operator="lessThan">
      <formula>0</formula>
    </cfRule>
  </conditionalFormatting>
  <conditionalFormatting sqref="E39:I39">
    <cfRule type="cellIs" dxfId="5" priority="6" operator="lessThan">
      <formula>0</formula>
    </cfRule>
  </conditionalFormatting>
  <conditionalFormatting sqref="E83:I83">
    <cfRule type="cellIs" dxfId="4" priority="5" operator="lessThan">
      <formula>0</formula>
    </cfRule>
  </conditionalFormatting>
  <conditionalFormatting sqref="E88:K88">
    <cfRule type="cellIs" dxfId="3" priority="4" operator="lessThan">
      <formula>0</formula>
    </cfRule>
  </conditionalFormatting>
  <conditionalFormatting sqref="K26:K27">
    <cfRule type="cellIs" dxfId="2" priority="3" operator="lessThan">
      <formula>0</formula>
    </cfRule>
  </conditionalFormatting>
  <conditionalFormatting sqref="K39">
    <cfRule type="cellIs" dxfId="1" priority="2" operator="lessThan">
      <formula>0</formula>
    </cfRule>
  </conditionalFormatting>
  <conditionalFormatting sqref="K83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245FC-D9D8-4488-82A3-47B7D890D32F}">
  <dimension ref="B2:V44"/>
  <sheetViews>
    <sheetView showGridLines="0" showRowColHeaders="0" zoomScale="90" zoomScaleNormal="90" workbookViewId="0"/>
  </sheetViews>
  <sheetFormatPr defaultRowHeight="17.399999999999999"/>
  <cols>
    <col min="1" max="1" width="4.21875" style="278" customWidth="1"/>
    <col min="2" max="2" width="72.109375" style="278" customWidth="1"/>
    <col min="3" max="3" width="1" style="278" hidden="1" customWidth="1"/>
    <col min="4" max="4" width="19.5546875" style="278" customWidth="1"/>
    <col min="5" max="5" width="0.5546875" style="278" customWidth="1"/>
    <col min="6" max="6" width="17.88671875" style="278" customWidth="1"/>
    <col min="7" max="7" width="1.109375" style="278" customWidth="1"/>
    <col min="8" max="8" width="21.33203125" style="278" customWidth="1"/>
    <col min="9" max="9" width="1.77734375" style="278" customWidth="1"/>
    <col min="10" max="12" width="8.88671875" style="278"/>
    <col min="13" max="16" width="14.88671875" style="278" bestFit="1" customWidth="1"/>
    <col min="17" max="16384" width="8.88671875" style="278"/>
  </cols>
  <sheetData>
    <row r="2" spans="2:22" ht="11.4" customHeight="1"/>
    <row r="3" spans="2:22" ht="21.6" customHeight="1">
      <c r="B3" s="335" t="s">
        <v>1</v>
      </c>
      <c r="D3" s="335" t="s">
        <v>592</v>
      </c>
      <c r="F3" s="335" t="s">
        <v>593</v>
      </c>
      <c r="H3" s="335" t="s">
        <v>594</v>
      </c>
      <c r="J3" s="336">
        <v>5</v>
      </c>
      <c r="K3" s="336">
        <v>12</v>
      </c>
    </row>
    <row r="4" spans="2:22" ht="3.6" customHeight="1"/>
    <row r="5" spans="2:22" ht="28.8" customHeight="1">
      <c r="B5" s="337" t="str" cm="1">
        <f t="array" ref="B5">INDEX(BALANCETE!C7:C45,GRÁFICOS!J3)</f>
        <v>Bancos Conta Movimento</v>
      </c>
      <c r="C5" s="338"/>
      <c r="D5" s="339">
        <f>VLOOKUP(B5,BALANCETE!$C$7:$I$45,7,0)</f>
        <v>92700</v>
      </c>
      <c r="E5" s="338"/>
      <c r="F5" s="339">
        <f>VLOOKUP(B5,BALANCETE!$C$7:$P$45,14,0)</f>
        <v>91800</v>
      </c>
      <c r="G5" s="338"/>
      <c r="H5" s="339">
        <f>VLOOKUP(B5,BALANCETE!$C$7:$W$45,21,0)</f>
        <v>116000</v>
      </c>
    </row>
    <row r="6" spans="2:22" ht="5.4" customHeight="1">
      <c r="B6" s="338"/>
      <c r="C6" s="338"/>
      <c r="D6" s="338"/>
      <c r="E6" s="338"/>
      <c r="F6" s="338"/>
      <c r="G6" s="338"/>
      <c r="H6" s="338"/>
    </row>
    <row r="7" spans="2:22" ht="30.6" customHeight="1">
      <c r="B7" s="337" t="str" cm="1">
        <f t="array" ref="B7">INDEX(BALANCETE!C46:C89,GRÁFICOS!K3)</f>
        <v>PIS a Recolher</v>
      </c>
      <c r="C7" s="338"/>
      <c r="D7" s="339">
        <f>VLOOKUP(B7,BALANCETE!$C$46:$I$89,7,0)</f>
        <v>409.50000000000006</v>
      </c>
      <c r="E7" s="338"/>
      <c r="F7" s="339">
        <f>VLOOKUP(B7,BALANCETE!$C$46:$P$89,14,0)</f>
        <v>1027</v>
      </c>
      <c r="G7" s="338"/>
      <c r="H7" s="339">
        <f>VLOOKUP(B7,BALANCETE!$C$46:$W$89,21,0)</f>
        <v>1391</v>
      </c>
    </row>
    <row r="9" spans="2:22">
      <c r="L9" s="355"/>
      <c r="M9" s="355"/>
      <c r="N9" s="355"/>
      <c r="O9" s="355"/>
    </row>
    <row r="10" spans="2:22"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</row>
    <row r="11" spans="2:22"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</row>
    <row r="12" spans="2:22">
      <c r="L12" s="307" t="str">
        <f>B5</f>
        <v>Bancos Conta Movimento</v>
      </c>
      <c r="M12" s="340">
        <f>D5</f>
        <v>92700</v>
      </c>
      <c r="N12" s="340">
        <f>F5</f>
        <v>91800</v>
      </c>
      <c r="O12" s="340">
        <f>H5</f>
        <v>116000</v>
      </c>
      <c r="P12" s="307"/>
      <c r="Q12" s="307"/>
      <c r="R12" s="307"/>
      <c r="S12" s="307"/>
      <c r="T12" s="307"/>
      <c r="U12" s="307"/>
      <c r="V12" s="307"/>
    </row>
    <row r="13" spans="2:22">
      <c r="L13" s="307" t="str">
        <f>B7</f>
        <v>PIS a Recolher</v>
      </c>
      <c r="M13" s="340">
        <f>D7</f>
        <v>409.50000000000006</v>
      </c>
      <c r="N13" s="340">
        <f>F7</f>
        <v>1027</v>
      </c>
      <c r="O13" s="340">
        <f>H7</f>
        <v>1391</v>
      </c>
      <c r="P13" s="307"/>
      <c r="Q13" s="307"/>
      <c r="R13" s="307"/>
      <c r="S13" s="307"/>
      <c r="T13" s="307"/>
      <c r="U13" s="307"/>
      <c r="V13" s="307"/>
    </row>
    <row r="14" spans="2:22"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</row>
    <row r="15" spans="2:22"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</row>
    <row r="16" spans="2:22"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</row>
    <row r="17" spans="2:17">
      <c r="L17" s="355"/>
      <c r="M17" s="355"/>
      <c r="N17" s="355"/>
      <c r="O17" s="355"/>
    </row>
    <row r="18" spans="2:17">
      <c r="L18" s="355"/>
      <c r="M18" s="355"/>
      <c r="N18" s="355"/>
      <c r="O18" s="355"/>
    </row>
    <row r="19" spans="2:17">
      <c r="L19" s="355"/>
      <c r="M19" s="355"/>
      <c r="N19" s="355"/>
      <c r="O19" s="355"/>
    </row>
    <row r="20" spans="2:17">
      <c r="L20" s="355"/>
      <c r="M20" s="355"/>
      <c r="N20" s="355"/>
      <c r="O20" s="355"/>
    </row>
    <row r="21" spans="2:17">
      <c r="L21" s="355"/>
      <c r="M21" s="355"/>
      <c r="N21" s="355"/>
      <c r="O21" s="355"/>
    </row>
    <row r="22" spans="2:17">
      <c r="L22" s="355"/>
      <c r="M22" s="355"/>
      <c r="N22" s="355"/>
      <c r="O22" s="355"/>
    </row>
    <row r="23" spans="2:17">
      <c r="L23" s="355"/>
      <c r="M23" s="355"/>
      <c r="N23" s="355"/>
      <c r="O23" s="355"/>
    </row>
    <row r="24" spans="2:17">
      <c r="B24" s="335" t="s">
        <v>1</v>
      </c>
      <c r="D24" s="335" t="s">
        <v>592</v>
      </c>
      <c r="F24" s="335" t="s">
        <v>593</v>
      </c>
      <c r="H24" s="335" t="s">
        <v>594</v>
      </c>
      <c r="J24" s="307">
        <v>4</v>
      </c>
      <c r="K24" s="307">
        <v>14</v>
      </c>
      <c r="L24" s="307"/>
    </row>
    <row r="26" spans="2:17" ht="28.8" customHeight="1">
      <c r="B26" s="337" t="str" cm="1">
        <f t="array" ref="B26">INDEX(BALANCETE!C90:C107,GRÁFICOS!J24)</f>
        <v>Venda de Produtos</v>
      </c>
      <c r="C26" s="338"/>
      <c r="D26" s="339">
        <f>VLOOKUP(B26,BALANCETE!$C$90:$I$107,7,0)</f>
        <v>0</v>
      </c>
      <c r="E26" s="338"/>
      <c r="F26" s="339">
        <f>VLOOKUP(B26,BALANCETE!$C$90:$P$107,14,0)</f>
        <v>0</v>
      </c>
      <c r="G26" s="338"/>
      <c r="H26" s="339">
        <f>VLOOKUP(B26,BALANCETE!$C$90:$W$107,21,0)</f>
        <v>0</v>
      </c>
    </row>
    <row r="27" spans="2:17" ht="4.2" customHeight="1">
      <c r="B27" s="338"/>
      <c r="C27" s="338"/>
      <c r="D27" s="338"/>
      <c r="E27" s="338"/>
      <c r="F27" s="338"/>
      <c r="G27" s="338"/>
      <c r="H27" s="338"/>
    </row>
    <row r="28" spans="2:17" ht="25.8" customHeight="1">
      <c r="B28" s="337" t="str" cm="1">
        <f t="array" ref="B28">INDEX(BALANCETE!C108:C129,GRÁFICOS!K24)</f>
        <v>INSS</v>
      </c>
      <c r="C28" s="338"/>
      <c r="D28" s="339">
        <f>VLOOKUP(B28,BALANCETE!$C$108:$W$129,7,0)</f>
        <v>834</v>
      </c>
      <c r="E28" s="338"/>
      <c r="F28" s="339">
        <f>VLOOKUP(B28,BALANCETE!$C$108:$W$129,14,0)</f>
        <v>1946</v>
      </c>
      <c r="G28" s="338"/>
      <c r="H28" s="339">
        <f>VLOOKUP(B28,BALANCETE!$C$108:$W$129,21,0)</f>
        <v>3058</v>
      </c>
      <c r="L28" s="307"/>
      <c r="M28" s="307"/>
      <c r="N28" s="307"/>
      <c r="O28" s="307"/>
      <c r="P28" s="307"/>
      <c r="Q28" s="307"/>
    </row>
    <row r="29" spans="2:17">
      <c r="D29" s="311"/>
      <c r="E29" s="311"/>
      <c r="F29" s="311"/>
      <c r="G29" s="311"/>
      <c r="H29" s="311"/>
      <c r="L29" s="307"/>
      <c r="M29" s="307"/>
      <c r="N29" s="307"/>
      <c r="O29" s="307"/>
      <c r="P29" s="307"/>
      <c r="Q29" s="307"/>
    </row>
    <row r="30" spans="2:17">
      <c r="L30" s="307"/>
      <c r="M30" s="307" t="str">
        <f>B26</f>
        <v>Venda de Produtos</v>
      </c>
      <c r="N30" s="340">
        <f>D26</f>
        <v>0</v>
      </c>
      <c r="O30" s="340">
        <f>F26</f>
        <v>0</v>
      </c>
      <c r="P30" s="340">
        <f>H26</f>
        <v>0</v>
      </c>
      <c r="Q30" s="307"/>
    </row>
    <row r="31" spans="2:17">
      <c r="H31" s="355"/>
      <c r="I31" s="355"/>
      <c r="J31" s="355"/>
      <c r="K31" s="355"/>
      <c r="L31" s="307"/>
      <c r="M31" s="307" t="str">
        <f>B28</f>
        <v>INSS</v>
      </c>
      <c r="N31" s="340">
        <f>D28</f>
        <v>834</v>
      </c>
      <c r="O31" s="340">
        <f>F28</f>
        <v>1946</v>
      </c>
      <c r="P31" s="340">
        <f>H28</f>
        <v>3058</v>
      </c>
      <c r="Q31" s="307"/>
    </row>
    <row r="32" spans="2:17">
      <c r="H32" s="355"/>
      <c r="I32" s="355"/>
      <c r="J32" s="355"/>
      <c r="K32" s="355"/>
      <c r="L32" s="307"/>
      <c r="M32" s="307"/>
      <c r="N32" s="307"/>
      <c r="O32" s="307"/>
      <c r="P32" s="307"/>
      <c r="Q32" s="307"/>
    </row>
    <row r="33" spans="8:17">
      <c r="H33" s="355"/>
      <c r="I33" s="355"/>
      <c r="J33" s="355"/>
      <c r="K33" s="355"/>
      <c r="L33" s="307"/>
      <c r="M33" s="307"/>
      <c r="N33" s="307"/>
      <c r="O33" s="307"/>
      <c r="P33" s="307"/>
      <c r="Q33" s="307"/>
    </row>
    <row r="34" spans="8:17">
      <c r="H34" s="355"/>
      <c r="I34" s="355"/>
      <c r="J34" s="355"/>
      <c r="K34" s="355"/>
      <c r="L34" s="307"/>
      <c r="M34" s="307"/>
      <c r="N34" s="307"/>
      <c r="O34" s="307"/>
      <c r="P34" s="307"/>
      <c r="Q34" s="307"/>
    </row>
    <row r="35" spans="8:17">
      <c r="H35" s="355"/>
      <c r="I35" s="355"/>
      <c r="J35" s="355"/>
      <c r="K35" s="355"/>
      <c r="L35" s="355"/>
      <c r="M35" s="355"/>
      <c r="N35" s="355"/>
      <c r="O35" s="355"/>
    </row>
    <row r="36" spans="8:17">
      <c r="H36" s="355"/>
      <c r="I36" s="355"/>
      <c r="J36" s="355"/>
      <c r="K36" s="355"/>
      <c r="L36" s="355"/>
      <c r="M36" s="355"/>
      <c r="N36" s="355"/>
      <c r="O36" s="355"/>
    </row>
    <row r="37" spans="8:17">
      <c r="H37" s="355"/>
      <c r="I37" s="355"/>
      <c r="J37" s="355"/>
      <c r="K37" s="355"/>
      <c r="L37" s="355"/>
      <c r="M37" s="355"/>
      <c r="N37" s="355"/>
      <c r="O37" s="355"/>
    </row>
    <row r="38" spans="8:17">
      <c r="H38" s="355"/>
      <c r="I38" s="355"/>
      <c r="J38" s="355"/>
      <c r="K38" s="355"/>
      <c r="L38" s="355"/>
      <c r="M38" s="355"/>
      <c r="N38" s="355"/>
      <c r="O38" s="355"/>
    </row>
    <row r="39" spans="8:17">
      <c r="H39" s="355"/>
      <c r="I39" s="355"/>
      <c r="J39" s="355"/>
      <c r="K39" s="355"/>
      <c r="L39" s="355"/>
      <c r="M39" s="355"/>
      <c r="N39" s="355"/>
      <c r="O39" s="355"/>
    </row>
    <row r="40" spans="8:17">
      <c r="H40" s="355"/>
      <c r="I40" s="355"/>
      <c r="J40" s="355"/>
      <c r="K40" s="355"/>
      <c r="L40" s="355"/>
      <c r="M40" s="355"/>
      <c r="N40" s="355"/>
      <c r="O40" s="355"/>
    </row>
    <row r="41" spans="8:17">
      <c r="H41" s="355"/>
      <c r="I41" s="355"/>
      <c r="J41" s="355"/>
      <c r="K41" s="355"/>
      <c r="L41" s="355"/>
      <c r="M41" s="355"/>
      <c r="N41" s="355"/>
      <c r="O41" s="355"/>
    </row>
    <row r="42" spans="8:17">
      <c r="H42" s="355"/>
      <c r="I42" s="355"/>
      <c r="J42" s="355"/>
      <c r="K42" s="355"/>
      <c r="L42" s="355"/>
      <c r="M42" s="355"/>
      <c r="N42" s="355"/>
      <c r="O42" s="355"/>
    </row>
    <row r="43" spans="8:17">
      <c r="H43" s="355"/>
      <c r="I43" s="355"/>
      <c r="J43" s="355"/>
      <c r="K43" s="355"/>
      <c r="L43" s="355"/>
      <c r="M43" s="355"/>
      <c r="N43" s="355"/>
      <c r="O43" s="355"/>
    </row>
    <row r="44" spans="8:17">
      <c r="H44" s="355"/>
      <c r="I44" s="355"/>
      <c r="J44" s="355"/>
      <c r="K44" s="355"/>
      <c r="L44" s="355"/>
      <c r="M44" s="355"/>
      <c r="N44" s="355"/>
    </row>
  </sheetData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Spinner 1">
              <controlPr defaultSize="0" autoPict="0">
                <anchor moveWithCells="1" sizeWithCells="1">
                  <from>
                    <xdr:col>1</xdr:col>
                    <xdr:colOff>4648200</xdr:colOff>
                    <xdr:row>4</xdr:row>
                    <xdr:rowOff>7620</xdr:rowOff>
                  </from>
                  <to>
                    <xdr:col>3</xdr:col>
                    <xdr:colOff>7620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4" name="Spinner 2">
              <controlPr defaultSize="0" autoPict="0">
                <anchor moveWithCells="1" sizeWithCells="1">
                  <from>
                    <xdr:col>1</xdr:col>
                    <xdr:colOff>4648200</xdr:colOff>
                    <xdr:row>6</xdr:row>
                    <xdr:rowOff>7620</xdr:rowOff>
                  </from>
                  <to>
                    <xdr:col>3</xdr:col>
                    <xdr:colOff>7620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5" name="Spinner 5">
              <controlPr defaultSize="0" autoPict="0">
                <anchor moveWithCells="1" sizeWithCells="1">
                  <from>
                    <xdr:col>1</xdr:col>
                    <xdr:colOff>4648200</xdr:colOff>
                    <xdr:row>25</xdr:row>
                    <xdr:rowOff>7620</xdr:rowOff>
                  </from>
                  <to>
                    <xdr:col>1</xdr:col>
                    <xdr:colOff>4953000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6" name="Spinner 7">
              <controlPr defaultSize="0" autoPict="0">
                <anchor moveWithCells="1" sizeWithCells="1">
                  <from>
                    <xdr:col>1</xdr:col>
                    <xdr:colOff>4678680</xdr:colOff>
                    <xdr:row>27</xdr:row>
                    <xdr:rowOff>7620</xdr:rowOff>
                  </from>
                  <to>
                    <xdr:col>2</xdr:col>
                    <xdr:colOff>7620</xdr:colOff>
                    <xdr:row>28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6FF43-0553-4443-A7A2-034B4D9CED1F}">
  <dimension ref="H6:K17"/>
  <sheetViews>
    <sheetView showGridLines="0" showRowColHeaders="0" zoomScale="95" zoomScaleNormal="95" workbookViewId="0">
      <pane xSplit="39" ySplit="54" topLeftCell="AN61" activePane="bottomRight" state="frozen"/>
      <selection pane="topRight" activeCell="AN1" sqref="AN1"/>
      <selection pane="bottomLeft" activeCell="A55" sqref="A55"/>
      <selection pane="bottomRight"/>
    </sheetView>
  </sheetViews>
  <sheetFormatPr defaultRowHeight="18"/>
  <cols>
    <col min="1" max="16384" width="8.88671875" style="357"/>
  </cols>
  <sheetData>
    <row r="6" spans="8:11">
      <c r="J6" s="450" t="s">
        <v>592</v>
      </c>
      <c r="K6" s="450"/>
    </row>
    <row r="7" spans="8:11">
      <c r="I7" s="358"/>
      <c r="J7" s="450"/>
      <c r="K7" s="450"/>
    </row>
    <row r="8" spans="8:11">
      <c r="I8" s="359"/>
    </row>
    <row r="9" spans="8:11">
      <c r="I9" s="359"/>
    </row>
    <row r="10" spans="8:11">
      <c r="I10" s="359"/>
    </row>
    <row r="11" spans="8:11">
      <c r="H11" s="360"/>
      <c r="I11" s="361"/>
      <c r="J11" s="450" t="s">
        <v>593</v>
      </c>
      <c r="K11" s="450"/>
    </row>
    <row r="12" spans="8:11">
      <c r="I12" s="359"/>
      <c r="J12" s="450"/>
      <c r="K12" s="450"/>
    </row>
    <row r="13" spans="8:11">
      <c r="I13" s="359"/>
    </row>
    <row r="14" spans="8:11">
      <c r="I14" s="359"/>
    </row>
    <row r="15" spans="8:11">
      <c r="I15" s="359"/>
    </row>
    <row r="16" spans="8:11">
      <c r="I16" s="361"/>
      <c r="J16" s="450" t="s">
        <v>594</v>
      </c>
      <c r="K16" s="450"/>
    </row>
    <row r="17" spans="10:11">
      <c r="J17" s="450"/>
      <c r="K17" s="450"/>
    </row>
  </sheetData>
  <mergeCells count="3">
    <mergeCell ref="J6:K7"/>
    <mergeCell ref="J11:K12"/>
    <mergeCell ref="J16:K17"/>
  </mergeCells>
  <hyperlinks>
    <hyperlink ref="J6:K7" location="'TXT EFD CONTRIBUIÇÕES'!A1" display="OUTUBRO" xr:uid="{86BDCB05-F5BB-41B8-BE2D-C6024B66A1B2}"/>
  </hyperlink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2930-2AA3-460A-BE9E-B233A94312AA}">
  <dimension ref="H6:K17"/>
  <sheetViews>
    <sheetView showGridLines="0" showRowColHeaders="0" zoomScale="95" zoomScaleNormal="95" workbookViewId="0">
      <pane xSplit="39" ySplit="54" topLeftCell="AN55" activePane="bottomRight" state="frozen"/>
      <selection pane="topRight" activeCell="AN1" sqref="AN1"/>
      <selection pane="bottomLeft" activeCell="A55" sqref="A55"/>
      <selection pane="bottomRight"/>
    </sheetView>
  </sheetViews>
  <sheetFormatPr defaultRowHeight="18"/>
  <cols>
    <col min="1" max="16384" width="8.88671875" style="357"/>
  </cols>
  <sheetData>
    <row r="6" spans="8:11">
      <c r="J6" s="450" t="s">
        <v>592</v>
      </c>
      <c r="K6" s="450"/>
    </row>
    <row r="7" spans="8:11">
      <c r="I7" s="358"/>
      <c r="J7" s="450"/>
      <c r="K7" s="450"/>
    </row>
    <row r="8" spans="8:11">
      <c r="I8" s="359"/>
    </row>
    <row r="9" spans="8:11">
      <c r="I9" s="359"/>
    </row>
    <row r="10" spans="8:11">
      <c r="I10" s="359"/>
    </row>
    <row r="11" spans="8:11">
      <c r="H11" s="360"/>
      <c r="I11" s="361"/>
      <c r="J11" s="450" t="s">
        <v>593</v>
      </c>
      <c r="K11" s="450"/>
    </row>
    <row r="12" spans="8:11">
      <c r="I12" s="359"/>
      <c r="J12" s="450"/>
      <c r="K12" s="450"/>
    </row>
    <row r="13" spans="8:11">
      <c r="I13" s="359"/>
    </row>
    <row r="14" spans="8:11">
      <c r="I14" s="359"/>
    </row>
    <row r="15" spans="8:11">
      <c r="I15" s="359"/>
    </row>
    <row r="16" spans="8:11">
      <c r="I16" s="361"/>
      <c r="J16" s="450" t="s">
        <v>594</v>
      </c>
      <c r="K16" s="450"/>
    </row>
    <row r="17" spans="10:11">
      <c r="J17" s="450"/>
      <c r="K17" s="450"/>
    </row>
  </sheetData>
  <mergeCells count="3">
    <mergeCell ref="J6:K7"/>
    <mergeCell ref="J11:K12"/>
    <mergeCell ref="J16:K17"/>
  </mergeCells>
  <hyperlinks>
    <hyperlink ref="J6:K7" location="'TXT EFD ICMS IPI OUT'!A1" display="OUTUBRO" xr:uid="{F2BE1A2A-48EE-42FE-AB0A-1A272D7D20EF}"/>
  </hyperlink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22849-9D37-4304-B8A1-6A58D79C1388}">
  <sheetPr filterMode="1"/>
  <dimension ref="A2:AJ96"/>
  <sheetViews>
    <sheetView showGridLines="0" workbookViewId="0">
      <pane ySplit="9" topLeftCell="A34" activePane="bottomLeft" state="frozen"/>
      <selection pane="bottomLeft" activeCell="N104" sqref="N104"/>
    </sheetView>
  </sheetViews>
  <sheetFormatPr defaultRowHeight="17.399999999999999"/>
  <cols>
    <col min="1" max="1" width="12.109375" style="278" bestFit="1" customWidth="1"/>
    <col min="2" max="2" width="15" style="279" bestFit="1" customWidth="1"/>
    <col min="3" max="3" width="26.5546875" style="278" bestFit="1" customWidth="1"/>
    <col min="4" max="4" width="16.6640625" style="278" bestFit="1" customWidth="1"/>
    <col min="5" max="5" width="12.33203125" style="278" bestFit="1" customWidth="1"/>
    <col min="6" max="6" width="16.6640625" style="278" bestFit="1" customWidth="1"/>
    <col min="7" max="7" width="12.6640625" style="278" bestFit="1" customWidth="1"/>
    <col min="8" max="8" width="16.6640625" style="278" bestFit="1" customWidth="1"/>
    <col min="9" max="9" width="11" style="278" bestFit="1" customWidth="1"/>
    <col min="10" max="10" width="9.109375" style="278" bestFit="1" customWidth="1"/>
    <col min="11" max="11" width="16.6640625" style="278" bestFit="1" customWidth="1"/>
    <col min="12" max="12" width="16.33203125" style="278" bestFit="1" customWidth="1"/>
    <col min="13" max="13" width="9.109375" style="278" bestFit="1" customWidth="1"/>
    <col min="14" max="14" width="21.109375" style="278" customWidth="1"/>
    <col min="15" max="15" width="15.77734375" style="278" customWidth="1"/>
    <col min="16" max="16" width="17.109375" style="278" customWidth="1"/>
    <col min="17" max="23" width="9.109375" style="278" bestFit="1" customWidth="1"/>
    <col min="24" max="16384" width="8.88671875" style="278"/>
  </cols>
  <sheetData>
    <row r="2" spans="2:36" s="364" customFormat="1">
      <c r="B2" s="363" t="s">
        <v>741</v>
      </c>
      <c r="C2" s="363" t="s">
        <v>742</v>
      </c>
      <c r="D2" s="363" t="s">
        <v>743</v>
      </c>
      <c r="E2" s="363" t="s">
        <v>744</v>
      </c>
      <c r="F2" s="363" t="s">
        <v>745</v>
      </c>
      <c r="G2" s="363" t="s">
        <v>746</v>
      </c>
      <c r="H2" s="363" t="s">
        <v>747</v>
      </c>
      <c r="I2" s="363" t="s">
        <v>748</v>
      </c>
      <c r="J2" s="363" t="s">
        <v>749</v>
      </c>
      <c r="K2" s="363" t="s">
        <v>750</v>
      </c>
      <c r="L2" s="363" t="s">
        <v>751</v>
      </c>
      <c r="M2" s="363" t="s">
        <v>752</v>
      </c>
      <c r="N2" s="363" t="s">
        <v>753</v>
      </c>
      <c r="O2" s="363" t="s">
        <v>754</v>
      </c>
      <c r="P2" s="363" t="s">
        <v>755</v>
      </c>
      <c r="Q2" s="363" t="s">
        <v>756</v>
      </c>
      <c r="R2" s="363" t="s">
        <v>757</v>
      </c>
      <c r="S2" s="363" t="s">
        <v>758</v>
      </c>
      <c r="T2" s="363" t="s">
        <v>759</v>
      </c>
      <c r="U2" s="363" t="s">
        <v>760</v>
      </c>
      <c r="V2" s="363" t="s">
        <v>761</v>
      </c>
      <c r="W2" s="363" t="s">
        <v>762</v>
      </c>
      <c r="X2" s="363" t="s">
        <v>763</v>
      </c>
      <c r="Y2" s="363" t="s">
        <v>764</v>
      </c>
      <c r="Z2" s="363" t="s">
        <v>765</v>
      </c>
      <c r="AA2" s="363" t="s">
        <v>766</v>
      </c>
      <c r="AB2" s="363" t="s">
        <v>767</v>
      </c>
      <c r="AC2" s="363" t="s">
        <v>768</v>
      </c>
      <c r="AD2" s="363" t="s">
        <v>769</v>
      </c>
      <c r="AE2" s="363" t="s">
        <v>770</v>
      </c>
      <c r="AF2" s="363" t="s">
        <v>771</v>
      </c>
      <c r="AG2" s="363" t="s">
        <v>772</v>
      </c>
      <c r="AH2" s="363" t="s">
        <v>773</v>
      </c>
      <c r="AI2" s="363" t="s">
        <v>774</v>
      </c>
      <c r="AJ2" s="363" t="s">
        <v>775</v>
      </c>
    </row>
    <row r="3" spans="2:36" hidden="1">
      <c r="B3" s="362" t="s">
        <v>688</v>
      </c>
      <c r="C3" s="278">
        <v>17</v>
      </c>
      <c r="D3" s="278">
        <v>0</v>
      </c>
      <c r="E3" s="278">
        <v>1102023</v>
      </c>
      <c r="F3" s="278">
        <v>31102023</v>
      </c>
      <c r="G3" s="278" t="s">
        <v>469</v>
      </c>
      <c r="H3" s="278">
        <v>9184233000166</v>
      </c>
      <c r="J3" s="278" t="s">
        <v>253</v>
      </c>
      <c r="K3" s="278">
        <v>749543300177</v>
      </c>
      <c r="L3" s="278">
        <v>5300108</v>
      </c>
      <c r="O3" s="278" t="s">
        <v>689</v>
      </c>
      <c r="P3" s="278">
        <v>1</v>
      </c>
    </row>
    <row r="4" spans="2:36" hidden="1">
      <c r="B4" s="362" t="s">
        <v>690</v>
      </c>
      <c r="C4" s="278">
        <v>0</v>
      </c>
    </row>
    <row r="5" spans="2:36" hidden="1">
      <c r="B5" s="362" t="s">
        <v>691</v>
      </c>
      <c r="C5" s="278" t="s">
        <v>469</v>
      </c>
      <c r="D5" s="278">
        <v>70361535</v>
      </c>
      <c r="E5" s="278" t="s">
        <v>692</v>
      </c>
      <c r="F5" s="278">
        <v>2</v>
      </c>
      <c r="H5" s="278" t="s">
        <v>693</v>
      </c>
    </row>
    <row r="6" spans="2:36" hidden="1">
      <c r="B6" s="362" t="s">
        <v>694</v>
      </c>
      <c r="C6" s="278" t="s">
        <v>695</v>
      </c>
      <c r="D6" s="278">
        <v>74440015026</v>
      </c>
      <c r="E6" s="278" t="s">
        <v>696</v>
      </c>
      <c r="N6" s="278" t="s">
        <v>697</v>
      </c>
      <c r="O6" s="278">
        <v>5300108</v>
      </c>
    </row>
    <row r="7" spans="2:36" hidden="1">
      <c r="B7" s="362" t="s">
        <v>698</v>
      </c>
      <c r="C7" s="278">
        <v>1</v>
      </c>
      <c r="D7" s="278" t="s">
        <v>699</v>
      </c>
      <c r="E7" s="278">
        <v>1058</v>
      </c>
      <c r="F7" s="278">
        <v>60052193000156</v>
      </c>
      <c r="I7" s="278">
        <v>3106200</v>
      </c>
      <c r="K7" s="278" t="s">
        <v>700</v>
      </c>
      <c r="L7" s="278">
        <v>367</v>
      </c>
      <c r="N7" s="278" t="s">
        <v>701</v>
      </c>
    </row>
    <row r="8" spans="2:36" hidden="1">
      <c r="B8" s="362" t="s">
        <v>698</v>
      </c>
      <c r="C8" s="278">
        <v>2</v>
      </c>
      <c r="D8" s="278" t="s">
        <v>702</v>
      </c>
      <c r="E8" s="278">
        <v>1058</v>
      </c>
      <c r="F8" s="278">
        <v>2730521000120</v>
      </c>
      <c r="I8" s="278">
        <v>5300108</v>
      </c>
      <c r="K8" s="278" t="s">
        <v>703</v>
      </c>
      <c r="L8" s="278">
        <v>45</v>
      </c>
      <c r="N8" s="278" t="s">
        <v>704</v>
      </c>
    </row>
    <row r="9" spans="2:36" hidden="1">
      <c r="B9" s="362" t="s">
        <v>705</v>
      </c>
      <c r="C9" s="278">
        <v>1</v>
      </c>
      <c r="D9" s="278" t="s">
        <v>706</v>
      </c>
    </row>
    <row r="10" spans="2:36">
      <c r="B10" s="362" t="s">
        <v>707</v>
      </c>
      <c r="C10" s="279">
        <v>1</v>
      </c>
      <c r="D10" s="278" t="s">
        <v>532</v>
      </c>
      <c r="G10" s="278">
        <v>1</v>
      </c>
      <c r="H10" s="278">
        <v>0</v>
      </c>
    </row>
    <row r="11" spans="2:36">
      <c r="B11" s="362" t="s">
        <v>707</v>
      </c>
      <c r="C11" s="279">
        <v>2</v>
      </c>
      <c r="D11" s="278" t="s">
        <v>534</v>
      </c>
      <c r="G11" s="278">
        <v>1</v>
      </c>
      <c r="H11" s="278">
        <v>0</v>
      </c>
    </row>
    <row r="12" spans="2:36">
      <c r="B12" s="362" t="s">
        <v>707</v>
      </c>
      <c r="C12" s="279">
        <v>3</v>
      </c>
      <c r="D12" s="278" t="s">
        <v>537</v>
      </c>
      <c r="G12" s="278">
        <v>1</v>
      </c>
      <c r="H12" s="278">
        <v>0</v>
      </c>
    </row>
    <row r="13" spans="2:36">
      <c r="B13" s="362" t="s">
        <v>707</v>
      </c>
      <c r="C13" s="279">
        <v>4</v>
      </c>
      <c r="D13" s="278" t="s">
        <v>538</v>
      </c>
      <c r="G13" s="278">
        <v>1</v>
      </c>
      <c r="H13" s="278">
        <v>0</v>
      </c>
    </row>
    <row r="14" spans="2:36">
      <c r="B14" s="362" t="s">
        <v>707</v>
      </c>
      <c r="C14" s="279">
        <v>5</v>
      </c>
      <c r="D14" s="278" t="s">
        <v>541</v>
      </c>
      <c r="G14" s="278">
        <v>1</v>
      </c>
      <c r="H14" s="278">
        <v>0</v>
      </c>
    </row>
    <row r="15" spans="2:36">
      <c r="B15" s="362" t="s">
        <v>707</v>
      </c>
      <c r="C15" s="279">
        <v>6</v>
      </c>
      <c r="D15" s="278" t="s">
        <v>542</v>
      </c>
      <c r="G15" s="278">
        <v>1</v>
      </c>
      <c r="H15" s="278">
        <v>0</v>
      </c>
    </row>
    <row r="16" spans="2:36" hidden="1">
      <c r="B16" s="362" t="s">
        <v>708</v>
      </c>
      <c r="C16" s="278">
        <v>14</v>
      </c>
    </row>
    <row r="17" spans="1:23" hidden="1">
      <c r="B17" s="362" t="s">
        <v>709</v>
      </c>
      <c r="C17" s="278">
        <v>0</v>
      </c>
    </row>
    <row r="18" spans="1:23" hidden="1">
      <c r="B18" s="362" t="s">
        <v>710</v>
      </c>
      <c r="C18" s="278">
        <v>1</v>
      </c>
      <c r="D18" s="278">
        <v>0</v>
      </c>
      <c r="E18" s="278">
        <v>2</v>
      </c>
      <c r="F18" s="278">
        <v>3</v>
      </c>
      <c r="G18" s="278">
        <v>0</v>
      </c>
      <c r="I18" s="278">
        <v>1</v>
      </c>
      <c r="K18" s="278">
        <v>30102023</v>
      </c>
      <c r="L18" s="278">
        <v>5300108</v>
      </c>
      <c r="M18" s="278">
        <v>3000</v>
      </c>
      <c r="N18" s="278">
        <v>0</v>
      </c>
      <c r="O18" s="278">
        <v>0</v>
      </c>
      <c r="P18" s="278">
        <v>0</v>
      </c>
      <c r="Q18" s="278">
        <v>0</v>
      </c>
      <c r="R18" s="278">
        <v>3000</v>
      </c>
      <c r="S18" s="278">
        <v>0</v>
      </c>
      <c r="T18" s="278">
        <v>0</v>
      </c>
      <c r="U18" s="278">
        <v>150</v>
      </c>
    </row>
    <row r="19" spans="1:23" hidden="1">
      <c r="B19" s="362" t="s">
        <v>711</v>
      </c>
      <c r="C19" s="278">
        <v>3000</v>
      </c>
      <c r="D19" s="278">
        <v>3000</v>
      </c>
      <c r="E19" s="278">
        <v>5</v>
      </c>
      <c r="F19" s="278">
        <v>150</v>
      </c>
      <c r="G19" s="278">
        <v>0</v>
      </c>
      <c r="H19" s="278">
        <v>1402</v>
      </c>
    </row>
    <row r="20" spans="1:23" hidden="1">
      <c r="B20" s="362" t="s">
        <v>712</v>
      </c>
      <c r="C20" s="278">
        <v>3000</v>
      </c>
      <c r="D20" s="278">
        <v>3000</v>
      </c>
      <c r="E20" s="278">
        <v>5</v>
      </c>
      <c r="F20" s="278">
        <v>0</v>
      </c>
      <c r="G20" s="278">
        <v>150</v>
      </c>
      <c r="H20" s="278">
        <v>1402</v>
      </c>
    </row>
    <row r="21" spans="1:23" hidden="1">
      <c r="B21" s="362" t="s">
        <v>713</v>
      </c>
      <c r="C21" s="278">
        <v>3000</v>
      </c>
      <c r="D21" s="278">
        <v>0</v>
      </c>
      <c r="E21" s="278">
        <v>0</v>
      </c>
      <c r="F21" s="278">
        <v>0</v>
      </c>
      <c r="G21" s="278">
        <v>0</v>
      </c>
      <c r="H21" s="278">
        <v>0</v>
      </c>
      <c r="I21" s="278">
        <v>3000</v>
      </c>
      <c r="J21" s="278">
        <v>0</v>
      </c>
      <c r="K21" s="278">
        <v>150</v>
      </c>
      <c r="L21" s="278">
        <v>0</v>
      </c>
      <c r="M21" s="278">
        <v>0</v>
      </c>
      <c r="N21" s="278">
        <v>150</v>
      </c>
      <c r="O21" s="278">
        <v>0</v>
      </c>
      <c r="P21" s="278">
        <v>0</v>
      </c>
    </row>
    <row r="22" spans="1:23" hidden="1">
      <c r="B22" s="362" t="s">
        <v>714</v>
      </c>
      <c r="C22" s="278">
        <v>6</v>
      </c>
    </row>
    <row r="23" spans="1:23" hidden="1">
      <c r="B23" s="362" t="s">
        <v>715</v>
      </c>
      <c r="C23" s="278">
        <v>0</v>
      </c>
    </row>
    <row r="24" spans="1:23">
      <c r="A24" s="278" t="s">
        <v>776</v>
      </c>
      <c r="B24" s="366" t="s">
        <v>716</v>
      </c>
      <c r="C24" s="368">
        <v>0</v>
      </c>
      <c r="D24" s="365">
        <v>1</v>
      </c>
      <c r="E24" s="278">
        <v>1</v>
      </c>
      <c r="F24" s="278">
        <v>1</v>
      </c>
      <c r="G24" s="278">
        <v>0</v>
      </c>
      <c r="I24" s="278">
        <v>110</v>
      </c>
      <c r="K24" s="278">
        <v>20102023</v>
      </c>
      <c r="L24" s="278">
        <v>20102023</v>
      </c>
      <c r="M24" s="278">
        <v>80000</v>
      </c>
      <c r="N24" s="278">
        <v>0</v>
      </c>
      <c r="Q24" s="278">
        <v>80000</v>
      </c>
      <c r="R24" s="278">
        <v>2</v>
      </c>
      <c r="V24" s="278">
        <v>80000</v>
      </c>
      <c r="W24" s="278">
        <v>5600</v>
      </c>
    </row>
    <row r="25" spans="1:23">
      <c r="A25" s="487" t="s">
        <v>778</v>
      </c>
      <c r="B25" s="362" t="s">
        <v>717</v>
      </c>
      <c r="C25" s="278">
        <v>1</v>
      </c>
      <c r="D25" s="279">
        <v>1</v>
      </c>
      <c r="F25" s="278">
        <v>5</v>
      </c>
      <c r="G25" s="278">
        <v>1</v>
      </c>
      <c r="H25" s="389">
        <v>5000</v>
      </c>
      <c r="J25" s="278">
        <v>0</v>
      </c>
      <c r="K25" s="278">
        <v>0</v>
      </c>
      <c r="L25" s="278">
        <v>2102</v>
      </c>
      <c r="N25" s="389">
        <v>5000</v>
      </c>
      <c r="O25" s="390">
        <v>7.0000000000000007E-2</v>
      </c>
      <c r="P25" s="389">
        <v>350</v>
      </c>
    </row>
    <row r="26" spans="1:23">
      <c r="A26" s="487"/>
      <c r="B26" s="362" t="s">
        <v>717</v>
      </c>
      <c r="C26" s="278">
        <v>2</v>
      </c>
      <c r="D26" s="279">
        <v>2</v>
      </c>
      <c r="F26" s="278">
        <v>10</v>
      </c>
      <c r="G26" s="278">
        <v>1</v>
      </c>
      <c r="H26" s="389">
        <v>8000</v>
      </c>
      <c r="J26" s="278">
        <v>0</v>
      </c>
      <c r="K26" s="278">
        <v>0</v>
      </c>
      <c r="L26" s="278">
        <v>2102</v>
      </c>
      <c r="N26" s="389">
        <v>8000</v>
      </c>
      <c r="O26" s="390">
        <v>7.0000000000000007E-2</v>
      </c>
      <c r="P26" s="389">
        <v>560</v>
      </c>
    </row>
    <row r="27" spans="1:23">
      <c r="A27" s="487"/>
      <c r="B27" s="362" t="s">
        <v>717</v>
      </c>
      <c r="C27" s="278">
        <v>3</v>
      </c>
      <c r="D27" s="279">
        <v>3</v>
      </c>
      <c r="F27" s="278">
        <v>10</v>
      </c>
      <c r="G27" s="278">
        <v>1</v>
      </c>
      <c r="H27" s="389">
        <v>3000</v>
      </c>
      <c r="J27" s="278">
        <v>0</v>
      </c>
      <c r="K27" s="278">
        <v>0</v>
      </c>
      <c r="L27" s="278">
        <v>2102</v>
      </c>
      <c r="N27" s="389">
        <v>3000</v>
      </c>
      <c r="O27" s="390">
        <v>7.0000000000000007E-2</v>
      </c>
      <c r="P27" s="389">
        <v>210</v>
      </c>
    </row>
    <row r="28" spans="1:23">
      <c r="A28" s="487"/>
      <c r="B28" s="362" t="s">
        <v>717</v>
      </c>
      <c r="C28" s="278">
        <v>4</v>
      </c>
      <c r="D28" s="279">
        <v>4</v>
      </c>
      <c r="F28" s="278">
        <v>10</v>
      </c>
      <c r="G28" s="278">
        <v>1</v>
      </c>
      <c r="H28" s="389">
        <v>30000</v>
      </c>
      <c r="J28" s="278">
        <v>0</v>
      </c>
      <c r="K28" s="278">
        <v>0</v>
      </c>
      <c r="L28" s="278">
        <v>2102</v>
      </c>
      <c r="N28" s="389">
        <v>30000</v>
      </c>
      <c r="O28" s="390">
        <v>7.0000000000000007E-2</v>
      </c>
      <c r="P28" s="389">
        <v>2100</v>
      </c>
    </row>
    <row r="29" spans="1:23">
      <c r="A29" s="487"/>
      <c r="B29" s="362" t="s">
        <v>717</v>
      </c>
      <c r="C29" s="278">
        <v>5</v>
      </c>
      <c r="D29" s="279">
        <v>5</v>
      </c>
      <c r="F29" s="278">
        <v>8</v>
      </c>
      <c r="G29" s="278">
        <v>1</v>
      </c>
      <c r="H29" s="389">
        <v>32000</v>
      </c>
      <c r="J29" s="278">
        <v>0</v>
      </c>
      <c r="K29" s="278">
        <v>0</v>
      </c>
      <c r="L29" s="278">
        <v>2102</v>
      </c>
      <c r="N29" s="389">
        <v>32000</v>
      </c>
      <c r="O29" s="390">
        <v>7.0000000000000007E-2</v>
      </c>
      <c r="P29" s="389">
        <v>2240</v>
      </c>
    </row>
    <row r="30" spans="1:23">
      <c r="A30" s="487"/>
      <c r="B30" s="362" t="s">
        <v>717</v>
      </c>
      <c r="C30" s="278">
        <v>6</v>
      </c>
      <c r="D30" s="279">
        <v>6</v>
      </c>
      <c r="F30" s="278">
        <v>10</v>
      </c>
      <c r="G30" s="278">
        <v>1</v>
      </c>
      <c r="H30" s="389">
        <v>2000</v>
      </c>
      <c r="J30" s="278">
        <v>0</v>
      </c>
      <c r="K30" s="278">
        <v>0</v>
      </c>
      <c r="L30" s="278">
        <v>2102</v>
      </c>
      <c r="N30" s="389">
        <v>2000</v>
      </c>
      <c r="O30" s="390">
        <v>7.0000000000000007E-2</v>
      </c>
      <c r="P30" s="389">
        <v>140</v>
      </c>
    </row>
    <row r="31" spans="1:23" hidden="1">
      <c r="B31" s="362" t="s">
        <v>718</v>
      </c>
      <c r="C31" s="278">
        <v>0</v>
      </c>
      <c r="D31" s="278">
        <v>2102</v>
      </c>
      <c r="E31" s="278">
        <v>7</v>
      </c>
      <c r="F31" s="278">
        <v>80000</v>
      </c>
      <c r="G31" s="278">
        <v>80000</v>
      </c>
      <c r="H31" s="278">
        <v>5600</v>
      </c>
      <c r="I31" s="278">
        <v>0</v>
      </c>
      <c r="J31" s="278">
        <v>0</v>
      </c>
      <c r="K31" s="278">
        <v>0</v>
      </c>
      <c r="L31" s="278">
        <v>0</v>
      </c>
    </row>
    <row r="32" spans="1:23">
      <c r="A32" s="278" t="s">
        <v>777</v>
      </c>
      <c r="B32" s="369" t="s">
        <v>716</v>
      </c>
      <c r="C32" s="370">
        <v>1</v>
      </c>
      <c r="D32" s="365">
        <v>0</v>
      </c>
      <c r="E32" s="278">
        <v>2</v>
      </c>
      <c r="F32" s="278">
        <v>1</v>
      </c>
      <c r="G32" s="278">
        <v>0</v>
      </c>
      <c r="I32" s="278">
        <v>1</v>
      </c>
      <c r="K32" s="278">
        <v>25102023</v>
      </c>
      <c r="L32" s="278">
        <v>25102023</v>
      </c>
      <c r="M32" s="278">
        <v>60000</v>
      </c>
      <c r="N32" s="278">
        <v>0</v>
      </c>
      <c r="Q32" s="278">
        <v>60000</v>
      </c>
      <c r="R32" s="278">
        <v>2</v>
      </c>
      <c r="V32" s="278">
        <v>60000</v>
      </c>
      <c r="W32" s="278">
        <v>10800</v>
      </c>
    </row>
    <row r="33" spans="1:16">
      <c r="A33" s="487" t="s">
        <v>778</v>
      </c>
      <c r="B33" s="362" t="s">
        <v>717</v>
      </c>
      <c r="C33" s="278">
        <v>1</v>
      </c>
      <c r="D33" s="279">
        <v>1</v>
      </c>
      <c r="F33" s="278">
        <v>3</v>
      </c>
      <c r="G33" s="278">
        <v>1</v>
      </c>
      <c r="H33" s="278">
        <v>4500</v>
      </c>
      <c r="J33" s="278">
        <v>0</v>
      </c>
      <c r="K33" s="278">
        <v>0</v>
      </c>
      <c r="L33" s="278">
        <v>5102</v>
      </c>
      <c r="N33" s="278">
        <v>4500</v>
      </c>
      <c r="O33" s="390">
        <v>0.18</v>
      </c>
      <c r="P33" s="278">
        <v>810</v>
      </c>
    </row>
    <row r="34" spans="1:16">
      <c r="A34" s="487"/>
      <c r="B34" s="362" t="s">
        <v>717</v>
      </c>
      <c r="C34" s="278">
        <v>2</v>
      </c>
      <c r="D34" s="279">
        <v>4</v>
      </c>
      <c r="F34" s="278">
        <v>6</v>
      </c>
      <c r="G34" s="278">
        <v>1</v>
      </c>
      <c r="H34" s="278">
        <v>27000</v>
      </c>
      <c r="J34" s="278">
        <v>0</v>
      </c>
      <c r="K34" s="278">
        <v>0</v>
      </c>
      <c r="L34" s="278">
        <v>5102</v>
      </c>
      <c r="N34" s="278">
        <v>27000</v>
      </c>
      <c r="O34" s="390">
        <v>0.18</v>
      </c>
      <c r="P34" s="278">
        <v>4860</v>
      </c>
    </row>
    <row r="35" spans="1:16">
      <c r="A35" s="487"/>
      <c r="B35" s="362" t="s">
        <v>717</v>
      </c>
      <c r="C35" s="278">
        <v>3</v>
      </c>
      <c r="D35" s="279">
        <v>3</v>
      </c>
      <c r="F35" s="278">
        <v>10</v>
      </c>
      <c r="G35" s="278">
        <v>1</v>
      </c>
      <c r="H35" s="278">
        <v>4500</v>
      </c>
      <c r="J35" s="278">
        <v>0</v>
      </c>
      <c r="K35" s="278">
        <v>0</v>
      </c>
      <c r="L35" s="278">
        <v>5102</v>
      </c>
      <c r="N35" s="278">
        <v>4500</v>
      </c>
      <c r="O35" s="390">
        <v>0.18</v>
      </c>
      <c r="P35" s="278">
        <v>810</v>
      </c>
    </row>
    <row r="36" spans="1:16">
      <c r="A36" s="487"/>
      <c r="B36" s="362" t="s">
        <v>717</v>
      </c>
      <c r="C36" s="278">
        <v>4</v>
      </c>
      <c r="D36" s="279">
        <v>5</v>
      </c>
      <c r="F36" s="278">
        <v>4</v>
      </c>
      <c r="G36" s="278">
        <v>1</v>
      </c>
      <c r="H36" s="278">
        <v>24000</v>
      </c>
      <c r="J36" s="278">
        <v>0</v>
      </c>
      <c r="K36" s="278">
        <v>0</v>
      </c>
      <c r="L36" s="278">
        <v>5102</v>
      </c>
      <c r="N36" s="278">
        <v>24000</v>
      </c>
      <c r="O36" s="390">
        <v>0.18</v>
      </c>
      <c r="P36" s="278">
        <v>4320</v>
      </c>
    </row>
    <row r="37" spans="1:16" hidden="1">
      <c r="B37" s="362" t="s">
        <v>718</v>
      </c>
      <c r="C37" s="278">
        <v>0</v>
      </c>
      <c r="D37" s="278">
        <v>5102</v>
      </c>
      <c r="E37" s="278">
        <v>18</v>
      </c>
      <c r="F37" s="278">
        <v>60000</v>
      </c>
      <c r="G37" s="278">
        <v>60000</v>
      </c>
      <c r="H37" s="278">
        <v>10800</v>
      </c>
      <c r="I37" s="278">
        <v>0</v>
      </c>
      <c r="J37" s="278">
        <v>0</v>
      </c>
      <c r="K37" s="278">
        <v>0</v>
      </c>
      <c r="L37" s="278">
        <v>0</v>
      </c>
    </row>
    <row r="38" spans="1:16" hidden="1">
      <c r="B38" s="362" t="s">
        <v>719</v>
      </c>
      <c r="C38" s="278">
        <v>16</v>
      </c>
    </row>
    <row r="39" spans="1:16" hidden="1">
      <c r="B39" s="362" t="s">
        <v>720</v>
      </c>
      <c r="C39" s="278">
        <v>1</v>
      </c>
    </row>
    <row r="40" spans="1:16" hidden="1">
      <c r="B40" s="362" t="s">
        <v>721</v>
      </c>
      <c r="C40" s="278">
        <v>2</v>
      </c>
    </row>
    <row r="41" spans="1:16" hidden="1">
      <c r="B41" s="362" t="s">
        <v>722</v>
      </c>
      <c r="C41" s="278">
        <v>0</v>
      </c>
    </row>
    <row r="42" spans="1:16" hidden="1">
      <c r="B42" s="362" t="s">
        <v>723</v>
      </c>
      <c r="C42" s="278">
        <v>1102023</v>
      </c>
      <c r="D42" s="278">
        <v>31102023</v>
      </c>
    </row>
    <row r="43" spans="1:16">
      <c r="B43" s="362" t="s">
        <v>724</v>
      </c>
      <c r="C43" s="389">
        <v>10800</v>
      </c>
      <c r="D43" s="278">
        <v>0</v>
      </c>
      <c r="E43" s="278">
        <v>0</v>
      </c>
      <c r="F43" s="278">
        <v>0</v>
      </c>
      <c r="G43" s="389">
        <v>5600</v>
      </c>
      <c r="H43" s="278">
        <v>0</v>
      </c>
      <c r="I43" s="278">
        <v>0</v>
      </c>
      <c r="J43" s="278">
        <v>0</v>
      </c>
      <c r="K43" s="278">
        <v>0</v>
      </c>
      <c r="L43" s="278">
        <v>5200</v>
      </c>
      <c r="M43" s="278">
        <v>0</v>
      </c>
      <c r="N43" s="389">
        <v>5200</v>
      </c>
      <c r="O43" s="278">
        <v>0</v>
      </c>
      <c r="P43" s="278">
        <v>0</v>
      </c>
    </row>
    <row r="44" spans="1:16" hidden="1">
      <c r="B44" s="362" t="s">
        <v>725</v>
      </c>
      <c r="C44" s="278">
        <v>0</v>
      </c>
      <c r="D44" s="278">
        <v>5200</v>
      </c>
      <c r="E44" s="278">
        <v>20112023</v>
      </c>
      <c r="F44" s="278">
        <v>1317</v>
      </c>
      <c r="K44" s="278">
        <v>102023</v>
      </c>
    </row>
    <row r="45" spans="1:16" hidden="1">
      <c r="B45" s="362" t="s">
        <v>726</v>
      </c>
      <c r="C45" s="278">
        <v>5</v>
      </c>
    </row>
    <row r="46" spans="1:16" hidden="1">
      <c r="B46" s="362" t="s">
        <v>727</v>
      </c>
      <c r="C46" s="278">
        <v>1</v>
      </c>
    </row>
    <row r="47" spans="1:16" hidden="1">
      <c r="B47" s="362" t="s">
        <v>728</v>
      </c>
      <c r="C47" s="278">
        <v>2</v>
      </c>
    </row>
    <row r="48" spans="1:16" hidden="1">
      <c r="B48" s="362" t="s">
        <v>729</v>
      </c>
      <c r="C48" s="278">
        <v>1</v>
      </c>
    </row>
    <row r="49" spans="2:15" hidden="1">
      <c r="B49" s="362" t="s">
        <v>730</v>
      </c>
      <c r="C49" s="278">
        <v>2</v>
      </c>
    </row>
    <row r="50" spans="2:15" hidden="1">
      <c r="B50" s="362" t="s">
        <v>731</v>
      </c>
      <c r="C50" s="278">
        <v>1</v>
      </c>
    </row>
    <row r="51" spans="2:15" hidden="1">
      <c r="B51" s="362" t="s">
        <v>732</v>
      </c>
      <c r="C51" s="278">
        <v>2</v>
      </c>
    </row>
    <row r="52" spans="2:15" hidden="1">
      <c r="B52" s="362" t="s">
        <v>733</v>
      </c>
      <c r="C52" s="278">
        <v>0</v>
      </c>
    </row>
    <row r="53" spans="2:15" hidden="1">
      <c r="B53" s="362" t="s">
        <v>734</v>
      </c>
      <c r="C53" s="278" t="s">
        <v>735</v>
      </c>
      <c r="D53" s="278" t="s">
        <v>735</v>
      </c>
      <c r="E53" s="278" t="s">
        <v>735</v>
      </c>
      <c r="F53" s="278" t="s">
        <v>735</v>
      </c>
      <c r="G53" s="278" t="s">
        <v>735</v>
      </c>
      <c r="H53" s="278" t="s">
        <v>735</v>
      </c>
      <c r="I53" s="278" t="s">
        <v>735</v>
      </c>
      <c r="J53" s="278" t="s">
        <v>735</v>
      </c>
      <c r="K53" s="278" t="s">
        <v>735</v>
      </c>
      <c r="L53" s="278" t="s">
        <v>735</v>
      </c>
      <c r="M53" s="278" t="s">
        <v>735</v>
      </c>
      <c r="N53" s="278" t="s">
        <v>735</v>
      </c>
      <c r="O53" s="278" t="s">
        <v>735</v>
      </c>
    </row>
    <row r="54" spans="2:15" hidden="1">
      <c r="B54" s="362" t="s">
        <v>736</v>
      </c>
      <c r="C54" s="278">
        <v>3</v>
      </c>
    </row>
    <row r="55" spans="2:15" hidden="1">
      <c r="B55" s="362" t="s">
        <v>737</v>
      </c>
      <c r="C55" s="278">
        <v>0</v>
      </c>
    </row>
    <row r="56" spans="2:15" hidden="1">
      <c r="B56" s="362" t="s">
        <v>738</v>
      </c>
      <c r="C56" s="278">
        <v>0</v>
      </c>
      <c r="D56" s="278">
        <v>1</v>
      </c>
    </row>
    <row r="57" spans="2:15" hidden="1">
      <c r="B57" s="362" t="s">
        <v>738</v>
      </c>
      <c r="C57" s="278">
        <v>1</v>
      </c>
      <c r="D57" s="278">
        <v>1</v>
      </c>
    </row>
    <row r="58" spans="2:15" hidden="1">
      <c r="B58" s="362" t="s">
        <v>738</v>
      </c>
      <c r="C58" s="278">
        <v>5</v>
      </c>
      <c r="D58" s="278">
        <v>1</v>
      </c>
    </row>
    <row r="59" spans="2:15" hidden="1">
      <c r="B59" s="362" t="s">
        <v>738</v>
      </c>
      <c r="C59" s="278">
        <v>100</v>
      </c>
      <c r="D59" s="278">
        <v>1</v>
      </c>
    </row>
    <row r="60" spans="2:15" hidden="1">
      <c r="B60" s="362" t="s">
        <v>738</v>
      </c>
      <c r="C60" s="278">
        <v>150</v>
      </c>
      <c r="D60" s="278">
        <v>2</v>
      </c>
    </row>
    <row r="61" spans="2:15" hidden="1">
      <c r="B61" s="362" t="s">
        <v>738</v>
      </c>
      <c r="C61" s="278">
        <v>190</v>
      </c>
      <c r="D61" s="278">
        <v>1</v>
      </c>
    </row>
    <row r="62" spans="2:15" hidden="1">
      <c r="B62" s="362" t="s">
        <v>738</v>
      </c>
      <c r="C62" s="278">
        <v>200</v>
      </c>
      <c r="D62" s="278">
        <v>6</v>
      </c>
    </row>
    <row r="63" spans="2:15" hidden="1">
      <c r="B63" s="362" t="s">
        <v>738</v>
      </c>
      <c r="C63" s="278">
        <v>990</v>
      </c>
      <c r="D63" s="278">
        <v>1</v>
      </c>
    </row>
    <row r="64" spans="2:15" hidden="1">
      <c r="B64" s="362" t="s">
        <v>738</v>
      </c>
      <c r="C64" s="278" t="s">
        <v>709</v>
      </c>
      <c r="D64" s="278">
        <v>1</v>
      </c>
    </row>
    <row r="65" spans="2:4" hidden="1">
      <c r="B65" s="362" t="s">
        <v>738</v>
      </c>
      <c r="C65" s="278" t="s">
        <v>710</v>
      </c>
      <c r="D65" s="278">
        <v>1</v>
      </c>
    </row>
    <row r="66" spans="2:4" hidden="1">
      <c r="B66" s="362" t="s">
        <v>738</v>
      </c>
      <c r="C66" s="278" t="s">
        <v>711</v>
      </c>
      <c r="D66" s="278">
        <v>1</v>
      </c>
    </row>
    <row r="67" spans="2:4" hidden="1">
      <c r="B67" s="362" t="s">
        <v>738</v>
      </c>
      <c r="C67" s="278" t="s">
        <v>712</v>
      </c>
      <c r="D67" s="278">
        <v>1</v>
      </c>
    </row>
    <row r="68" spans="2:4" hidden="1">
      <c r="B68" s="362" t="s">
        <v>738</v>
      </c>
      <c r="C68" s="278" t="s">
        <v>713</v>
      </c>
      <c r="D68" s="278">
        <v>1</v>
      </c>
    </row>
    <row r="69" spans="2:4" hidden="1">
      <c r="B69" s="362" t="s">
        <v>738</v>
      </c>
      <c r="C69" s="278" t="s">
        <v>714</v>
      </c>
      <c r="D69" s="278">
        <v>1</v>
      </c>
    </row>
    <row r="70" spans="2:4" hidden="1">
      <c r="B70" s="362" t="s">
        <v>738</v>
      </c>
      <c r="C70" s="278" t="s">
        <v>715</v>
      </c>
      <c r="D70" s="278">
        <v>1</v>
      </c>
    </row>
    <row r="71" spans="2:4" hidden="1">
      <c r="B71" s="362" t="s">
        <v>738</v>
      </c>
      <c r="C71" s="278" t="s">
        <v>716</v>
      </c>
      <c r="D71" s="278">
        <v>2</v>
      </c>
    </row>
    <row r="72" spans="2:4" hidden="1">
      <c r="B72" s="362" t="s">
        <v>738</v>
      </c>
      <c r="C72" s="278" t="s">
        <v>717</v>
      </c>
      <c r="D72" s="278">
        <v>10</v>
      </c>
    </row>
    <row r="73" spans="2:4" hidden="1">
      <c r="B73" s="362" t="s">
        <v>738</v>
      </c>
      <c r="C73" s="278" t="s">
        <v>718</v>
      </c>
      <c r="D73" s="278">
        <v>2</v>
      </c>
    </row>
    <row r="74" spans="2:4" hidden="1">
      <c r="B74" s="362" t="s">
        <v>738</v>
      </c>
      <c r="C74" s="278" t="s">
        <v>719</v>
      </c>
      <c r="D74" s="278">
        <v>1</v>
      </c>
    </row>
    <row r="75" spans="2:4" hidden="1">
      <c r="B75" s="362" t="s">
        <v>738</v>
      </c>
      <c r="C75" s="278" t="s">
        <v>720</v>
      </c>
      <c r="D75" s="278">
        <v>1</v>
      </c>
    </row>
    <row r="76" spans="2:4" hidden="1">
      <c r="B76" s="362" t="s">
        <v>738</v>
      </c>
      <c r="C76" s="278" t="s">
        <v>721</v>
      </c>
      <c r="D76" s="278">
        <v>1</v>
      </c>
    </row>
    <row r="77" spans="2:4" hidden="1">
      <c r="B77" s="362" t="s">
        <v>738</v>
      </c>
      <c r="C77" s="278" t="s">
        <v>722</v>
      </c>
      <c r="D77" s="278">
        <v>1</v>
      </c>
    </row>
    <row r="78" spans="2:4" hidden="1">
      <c r="B78" s="362" t="s">
        <v>738</v>
      </c>
      <c r="C78" s="278" t="s">
        <v>723</v>
      </c>
      <c r="D78" s="278">
        <v>1</v>
      </c>
    </row>
    <row r="79" spans="2:4" hidden="1">
      <c r="B79" s="362" t="s">
        <v>738</v>
      </c>
      <c r="C79" s="278" t="s">
        <v>724</v>
      </c>
      <c r="D79" s="278">
        <v>1</v>
      </c>
    </row>
    <row r="80" spans="2:4" hidden="1">
      <c r="B80" s="362" t="s">
        <v>738</v>
      </c>
      <c r="C80" s="278" t="s">
        <v>725</v>
      </c>
      <c r="D80" s="278">
        <v>1</v>
      </c>
    </row>
    <row r="81" spans="2:4" hidden="1">
      <c r="B81" s="362" t="s">
        <v>738</v>
      </c>
      <c r="C81" s="278" t="s">
        <v>726</v>
      </c>
      <c r="D81" s="278">
        <v>1</v>
      </c>
    </row>
    <row r="82" spans="2:4" hidden="1">
      <c r="B82" s="362" t="s">
        <v>738</v>
      </c>
      <c r="C82" s="278" t="s">
        <v>727</v>
      </c>
      <c r="D82" s="278">
        <v>1</v>
      </c>
    </row>
    <row r="83" spans="2:4" hidden="1">
      <c r="B83" s="362" t="s">
        <v>738</v>
      </c>
      <c r="C83" s="278" t="s">
        <v>728</v>
      </c>
      <c r="D83" s="278">
        <v>1</v>
      </c>
    </row>
    <row r="84" spans="2:4" hidden="1">
      <c r="B84" s="362" t="s">
        <v>738</v>
      </c>
      <c r="C84" s="278" t="s">
        <v>729</v>
      </c>
      <c r="D84" s="278">
        <v>1</v>
      </c>
    </row>
    <row r="85" spans="2:4" hidden="1">
      <c r="B85" s="362" t="s">
        <v>738</v>
      </c>
      <c r="C85" s="278" t="s">
        <v>730</v>
      </c>
      <c r="D85" s="278">
        <v>1</v>
      </c>
    </row>
    <row r="86" spans="2:4" hidden="1">
      <c r="B86" s="362" t="s">
        <v>738</v>
      </c>
      <c r="C86" s="278" t="s">
        <v>731</v>
      </c>
      <c r="D86" s="278">
        <v>1</v>
      </c>
    </row>
    <row r="87" spans="2:4" hidden="1">
      <c r="B87" s="362" t="s">
        <v>738</v>
      </c>
      <c r="C87" s="278" t="s">
        <v>732</v>
      </c>
      <c r="D87" s="278">
        <v>1</v>
      </c>
    </row>
    <row r="88" spans="2:4" hidden="1">
      <c r="B88" s="362" t="s">
        <v>738</v>
      </c>
      <c r="C88" s="278">
        <v>1001</v>
      </c>
      <c r="D88" s="278">
        <v>1</v>
      </c>
    </row>
    <row r="89" spans="2:4" hidden="1">
      <c r="B89" s="362" t="s">
        <v>738</v>
      </c>
      <c r="C89" s="278">
        <v>1010</v>
      </c>
      <c r="D89" s="278">
        <v>1</v>
      </c>
    </row>
    <row r="90" spans="2:4" hidden="1">
      <c r="B90" s="362" t="s">
        <v>738</v>
      </c>
      <c r="C90" s="278">
        <v>1990</v>
      </c>
      <c r="D90" s="278">
        <v>1</v>
      </c>
    </row>
    <row r="91" spans="2:4" hidden="1">
      <c r="B91" s="362" t="s">
        <v>738</v>
      </c>
      <c r="C91" s="278">
        <v>9001</v>
      </c>
      <c r="D91" s="278">
        <v>1</v>
      </c>
    </row>
    <row r="92" spans="2:4" hidden="1">
      <c r="B92" s="362" t="s">
        <v>738</v>
      </c>
      <c r="C92" s="278">
        <v>9990</v>
      </c>
      <c r="D92" s="278">
        <v>1</v>
      </c>
    </row>
    <row r="93" spans="2:4" hidden="1">
      <c r="B93" s="362" t="s">
        <v>738</v>
      </c>
      <c r="C93" s="278">
        <v>9999</v>
      </c>
      <c r="D93" s="278">
        <v>1</v>
      </c>
    </row>
    <row r="94" spans="2:4" hidden="1">
      <c r="B94" s="362" t="s">
        <v>738</v>
      </c>
      <c r="C94" s="278">
        <v>9900</v>
      </c>
      <c r="D94" s="278">
        <v>39</v>
      </c>
    </row>
    <row r="95" spans="2:4" hidden="1">
      <c r="B95" s="362" t="s">
        <v>739</v>
      </c>
      <c r="C95" s="278">
        <v>42</v>
      </c>
    </row>
    <row r="96" spans="2:4" hidden="1">
      <c r="B96" s="362" t="s">
        <v>740</v>
      </c>
      <c r="C96" s="278">
        <v>94</v>
      </c>
    </row>
  </sheetData>
  <autoFilter ref="A2:AN96" xr:uid="{96A22849-9D37-4304-B8A1-6A58D79C1388}">
    <filterColumn colId="1">
      <filters>
        <filter val="0200"/>
        <filter val="C100"/>
        <filter val="C170"/>
        <filter val="E110"/>
      </filters>
    </filterColumn>
  </autoFilter>
  <mergeCells count="2">
    <mergeCell ref="A25:A30"/>
    <mergeCell ref="A33:A36"/>
  </mergeCells>
  <phoneticPr fontId="34" type="noConversion"/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479C-97D1-42B9-8B20-3CC8E99DE953}">
  <dimension ref="B2:P86"/>
  <sheetViews>
    <sheetView showGridLines="0" showRowColHeaders="0" zoomScale="90" zoomScaleNormal="90" workbookViewId="0">
      <selection activeCell="P78" sqref="P78"/>
    </sheetView>
  </sheetViews>
  <sheetFormatPr defaultRowHeight="17.399999999999999"/>
  <cols>
    <col min="1" max="1" width="4.6640625" style="281" customWidth="1"/>
    <col min="2" max="2" width="8.88671875" style="377"/>
    <col min="3" max="3" width="0.77734375" style="377" customWidth="1"/>
    <col min="4" max="4" width="27.44140625" style="281" customWidth="1"/>
    <col min="5" max="5" width="0.77734375" style="281" customWidth="1"/>
    <col min="6" max="6" width="29.6640625" style="281" customWidth="1"/>
    <col min="7" max="7" width="0.77734375" style="281" customWidth="1"/>
    <col min="8" max="8" width="33.21875" style="281" bestFit="1" customWidth="1"/>
    <col min="9" max="9" width="1.21875" style="281" customWidth="1"/>
    <col min="10" max="10" width="19" style="281" bestFit="1" customWidth="1"/>
    <col min="11" max="11" width="1" style="281" customWidth="1"/>
    <col min="12" max="12" width="16.33203125" style="281" bestFit="1" customWidth="1"/>
    <col min="13" max="13" width="1" style="281" customWidth="1"/>
    <col min="14" max="14" width="18.21875" style="281" bestFit="1" customWidth="1"/>
    <col min="15" max="15" width="14.44140625" style="281" bestFit="1" customWidth="1"/>
    <col min="16" max="16" width="13.44140625" style="281" bestFit="1" customWidth="1"/>
    <col min="17" max="16384" width="8.88671875" style="281"/>
  </cols>
  <sheetData>
    <row r="2" spans="2:8">
      <c r="B2" s="488" t="s">
        <v>813</v>
      </c>
      <c r="C2" s="488"/>
      <c r="D2" s="488"/>
    </row>
    <row r="3" spans="2:8">
      <c r="B3" s="488"/>
      <c r="C3" s="488"/>
      <c r="D3" s="488"/>
    </row>
    <row r="4" spans="2:8" ht="6" customHeight="1"/>
    <row r="5" spans="2:8">
      <c r="B5" s="308" t="s">
        <v>807</v>
      </c>
      <c r="D5" s="308" t="s">
        <v>809</v>
      </c>
      <c r="F5" s="308" t="s">
        <v>811</v>
      </c>
      <c r="H5" s="308" t="s">
        <v>812</v>
      </c>
    </row>
    <row r="6" spans="2:8" ht="6.6" customHeight="1"/>
    <row r="7" spans="2:8">
      <c r="B7" s="378">
        <v>1</v>
      </c>
      <c r="D7" s="379" t="s">
        <v>532</v>
      </c>
      <c r="F7" s="380" t="str">
        <f>IFERROR(VLOOKUP(B7,'TXT EFD ICMS IPI OUT'!$C$10:$D$15,2,0),"")</f>
        <v>PROJETOR 4K</v>
      </c>
      <c r="H7" s="380" t="str">
        <f>IFERROR(VLOOKUP(B7,'TXT EFD CONTRIBUIÇÕES'!$C$11:$E$17,2,0),"")</f>
        <v>PROJETOR 4K</v>
      </c>
    </row>
    <row r="8" spans="2:8">
      <c r="B8" s="378">
        <v>2</v>
      </c>
      <c r="D8" s="380" t="s">
        <v>808</v>
      </c>
      <c r="F8" s="380" t="str">
        <f>IFERROR(VLOOKUP(B8,'TXT EFD ICMS IPI OUT'!$C$10:$D$15,2,0),"")</f>
        <v>HOME THEATER</v>
      </c>
      <c r="H8" s="380" t="str">
        <f>IFERROR(VLOOKUP(B8,'TXT EFD CONTRIBUIÇÕES'!$C$11:$E$17,2,0),"")</f>
        <v>HOME THEATER</v>
      </c>
    </row>
    <row r="9" spans="2:8">
      <c r="B9" s="378">
        <v>3</v>
      </c>
      <c r="D9" s="380" t="s">
        <v>537</v>
      </c>
      <c r="F9" s="380" t="str">
        <f>IFERROR(VLOOKUP(B9,'TXT EFD ICMS IPI OUT'!$C$10:$D$15,2,0),"")</f>
        <v>IMPRESSORA SCANNER</v>
      </c>
      <c r="H9" s="380" t="str">
        <f>IFERROR(VLOOKUP(B9,'TXT EFD CONTRIBUIÇÕES'!$C$11:$E$17,2,0),"")</f>
        <v>IMPRESSORA SCANNER</v>
      </c>
    </row>
    <row r="10" spans="2:8">
      <c r="B10" s="378">
        <v>4</v>
      </c>
      <c r="D10" s="380" t="s">
        <v>538</v>
      </c>
      <c r="F10" s="380" t="str">
        <f>IFERROR(VLOOKUP(B10,'TXT EFD ICMS IPI OUT'!$C$10:$D$15,2,0),"")</f>
        <v>NOTEBOOK DELL 15'</v>
      </c>
      <c r="H10" s="380" t="str">
        <f>IFERROR(VLOOKUP(B10,'TXT EFD CONTRIBUIÇÕES'!$C$11:$E$17,2,0),"")</f>
        <v>NOTEBOOK DELL 15'</v>
      </c>
    </row>
    <row r="11" spans="2:8">
      <c r="B11" s="378">
        <v>5</v>
      </c>
      <c r="D11" s="380" t="s">
        <v>541</v>
      </c>
      <c r="F11" s="380" t="str">
        <f>IFERROR(VLOOKUP(B11,'TXT EFD ICMS IPI OUT'!$C$10:$D$15,2,0),"")</f>
        <v>TV LED 65'</v>
      </c>
      <c r="H11" s="380" t="str">
        <f>IFERROR(VLOOKUP(B11,'TXT EFD CONTRIBUIÇÕES'!$C$11:$E$17,2,0),"")</f>
        <v>TV LED 65'</v>
      </c>
    </row>
    <row r="12" spans="2:8">
      <c r="B12" s="378">
        <v>6</v>
      </c>
      <c r="D12" s="380" t="s">
        <v>542</v>
      </c>
      <c r="F12" s="380" t="str">
        <f>IFERROR(VLOOKUP(B12,'TXT EFD ICMS IPI OUT'!$C$10:$D$15,2,0),"")</f>
        <v>INTERFONES</v>
      </c>
      <c r="H12" s="380" t="str">
        <f>IFERROR(VLOOKUP(B12,'TXT EFD CONTRIBUIÇÕES'!$C$11:$E$17,2,0),"")</f>
        <v>INTERFONES</v>
      </c>
    </row>
    <row r="13" spans="2:8">
      <c r="B13" s="378">
        <v>7</v>
      </c>
      <c r="D13" s="380"/>
      <c r="F13" s="380" t="str">
        <f>IFERROR(VLOOKUP(B13,'TXT EFD ICMS IPI OUT'!$C$10:$D$15,2,0),"")</f>
        <v/>
      </c>
      <c r="H13" s="380" t="str">
        <f>IFERROR(VLOOKUP(B13,'TXT EFD CONTRIBUIÇÕES'!$C$11:$E$17,2,0),"")</f>
        <v>SERVIÇO DE MANUTENÇÃO</v>
      </c>
    </row>
    <row r="16" spans="2:8">
      <c r="B16" s="488" t="s">
        <v>814</v>
      </c>
      <c r="C16" s="488"/>
      <c r="D16" s="488"/>
    </row>
    <row r="17" spans="2:15">
      <c r="B17" s="488"/>
      <c r="C17" s="488"/>
      <c r="D17" s="488"/>
    </row>
    <row r="18" spans="2:15" ht="6" customHeight="1"/>
    <row r="19" spans="2:15">
      <c r="B19" s="308" t="s">
        <v>807</v>
      </c>
      <c r="D19" s="308" t="s">
        <v>809</v>
      </c>
      <c r="F19" s="308" t="s">
        <v>815</v>
      </c>
      <c r="H19" s="308" t="s">
        <v>816</v>
      </c>
      <c r="J19" s="308" t="s">
        <v>817</v>
      </c>
      <c r="L19" s="308" t="s">
        <v>818</v>
      </c>
    </row>
    <row r="20" spans="2:15" ht="4.8" customHeight="1"/>
    <row r="21" spans="2:15">
      <c r="B21" s="378">
        <v>1</v>
      </c>
      <c r="D21" s="379" t="s">
        <v>532</v>
      </c>
      <c r="F21" s="382">
        <v>5000</v>
      </c>
      <c r="G21" s="278"/>
      <c r="H21" s="383">
        <v>7.0000000000000007E-2</v>
      </c>
      <c r="I21" s="278"/>
      <c r="J21" s="384">
        <f>F21</f>
        <v>5000</v>
      </c>
      <c r="K21" s="278"/>
      <c r="L21" s="384">
        <f>J21*H21</f>
        <v>350.00000000000006</v>
      </c>
    </row>
    <row r="22" spans="2:15">
      <c r="B22" s="378">
        <v>2</v>
      </c>
      <c r="D22" s="380" t="s">
        <v>808</v>
      </c>
      <c r="F22" s="291">
        <v>8000</v>
      </c>
      <c r="G22" s="278"/>
      <c r="H22" s="383">
        <v>7.0000000000000007E-2</v>
      </c>
      <c r="I22" s="278"/>
      <c r="J22" s="384">
        <f t="shared" ref="J22:J26" si="0">F22</f>
        <v>8000</v>
      </c>
      <c r="K22" s="278"/>
      <c r="L22" s="384">
        <f t="shared" ref="L22:L26" si="1">J22*H22</f>
        <v>560</v>
      </c>
    </row>
    <row r="23" spans="2:15">
      <c r="B23" s="378">
        <v>3</v>
      </c>
      <c r="D23" s="380" t="s">
        <v>537</v>
      </c>
      <c r="F23" s="291">
        <v>3000</v>
      </c>
      <c r="G23" s="278"/>
      <c r="H23" s="383">
        <v>7.0000000000000007E-2</v>
      </c>
      <c r="I23" s="278"/>
      <c r="J23" s="384">
        <f t="shared" si="0"/>
        <v>3000</v>
      </c>
      <c r="K23" s="278"/>
      <c r="L23" s="384">
        <f t="shared" si="1"/>
        <v>210.00000000000003</v>
      </c>
      <c r="N23" s="281" t="s">
        <v>820</v>
      </c>
      <c r="O23" s="385">
        <f>L35</f>
        <v>10800</v>
      </c>
    </row>
    <row r="24" spans="2:15">
      <c r="B24" s="378">
        <v>4</v>
      </c>
      <c r="D24" s="380" t="s">
        <v>538</v>
      </c>
      <c r="F24" s="291">
        <v>30000</v>
      </c>
      <c r="G24" s="278"/>
      <c r="H24" s="383">
        <v>7.0000000000000007E-2</v>
      </c>
      <c r="I24" s="278"/>
      <c r="J24" s="384">
        <f t="shared" si="0"/>
        <v>30000</v>
      </c>
      <c r="K24" s="278"/>
      <c r="L24" s="384">
        <f t="shared" si="1"/>
        <v>2100</v>
      </c>
      <c r="N24" s="386" t="s">
        <v>821</v>
      </c>
      <c r="O24" s="387">
        <f>L27</f>
        <v>5600</v>
      </c>
    </row>
    <row r="25" spans="2:15">
      <c r="B25" s="378">
        <v>5</v>
      </c>
      <c r="D25" s="380" t="s">
        <v>541</v>
      </c>
      <c r="F25" s="291">
        <v>32000</v>
      </c>
      <c r="G25" s="278"/>
      <c r="H25" s="383">
        <v>7.0000000000000007E-2</v>
      </c>
      <c r="I25" s="278"/>
      <c r="J25" s="384">
        <f t="shared" si="0"/>
        <v>32000</v>
      </c>
      <c r="K25" s="278"/>
      <c r="L25" s="384">
        <f t="shared" si="1"/>
        <v>2240</v>
      </c>
      <c r="N25" s="367" t="s">
        <v>625</v>
      </c>
      <c r="O25" s="388">
        <f>O23-O24</f>
        <v>5200</v>
      </c>
    </row>
    <row r="26" spans="2:15">
      <c r="B26" s="378">
        <v>6</v>
      </c>
      <c r="D26" s="380" t="s">
        <v>542</v>
      </c>
      <c r="F26" s="291">
        <v>2000</v>
      </c>
      <c r="G26" s="278"/>
      <c r="H26" s="383">
        <v>7.0000000000000007E-2</v>
      </c>
      <c r="I26" s="278"/>
      <c r="J26" s="384">
        <f t="shared" si="0"/>
        <v>2000</v>
      </c>
      <c r="K26" s="278"/>
      <c r="L26" s="384">
        <f t="shared" si="1"/>
        <v>140</v>
      </c>
    </row>
    <row r="27" spans="2:15">
      <c r="F27" s="381">
        <f>SUM(F21:F26)</f>
        <v>80000</v>
      </c>
      <c r="L27" s="381">
        <f>SUM(L21:L26)</f>
        <v>5600</v>
      </c>
    </row>
    <row r="28" spans="2:15">
      <c r="L28" s="385"/>
    </row>
    <row r="29" spans="2:15">
      <c r="B29" s="308" t="s">
        <v>807</v>
      </c>
      <c r="D29" s="308" t="s">
        <v>819</v>
      </c>
      <c r="F29" s="308" t="s">
        <v>815</v>
      </c>
      <c r="H29" s="308" t="s">
        <v>816</v>
      </c>
      <c r="J29" s="308" t="s">
        <v>817</v>
      </c>
      <c r="L29" s="308" t="s">
        <v>818</v>
      </c>
    </row>
    <row r="30" spans="2:15" ht="4.8" customHeight="1"/>
    <row r="31" spans="2:15">
      <c r="B31" s="378">
        <v>1</v>
      </c>
      <c r="D31" s="379" t="s">
        <v>532</v>
      </c>
      <c r="F31" s="382">
        <v>4500</v>
      </c>
      <c r="G31" s="278"/>
      <c r="H31" s="383">
        <v>0.18</v>
      </c>
      <c r="I31" s="278"/>
      <c r="J31" s="384">
        <f>F31</f>
        <v>4500</v>
      </c>
      <c r="K31" s="278"/>
      <c r="L31" s="384">
        <f>J31*H31</f>
        <v>810</v>
      </c>
    </row>
    <row r="32" spans="2:15">
      <c r="B32" s="378">
        <v>3</v>
      </c>
      <c r="D32" s="380" t="s">
        <v>537</v>
      </c>
      <c r="F32" s="382">
        <v>4500</v>
      </c>
      <c r="G32" s="278"/>
      <c r="H32" s="383">
        <v>0.18</v>
      </c>
      <c r="I32" s="278"/>
      <c r="J32" s="384">
        <f t="shared" ref="J32:J34" si="2">F32</f>
        <v>4500</v>
      </c>
      <c r="K32" s="278"/>
      <c r="L32" s="384">
        <f t="shared" ref="L32:L34" si="3">J32*H32</f>
        <v>810</v>
      </c>
    </row>
    <row r="33" spans="2:15">
      <c r="B33" s="378">
        <v>4</v>
      </c>
      <c r="D33" s="380" t="s">
        <v>538</v>
      </c>
      <c r="F33" s="291">
        <v>27000</v>
      </c>
      <c r="G33" s="278"/>
      <c r="H33" s="383">
        <v>0.18</v>
      </c>
      <c r="I33" s="278"/>
      <c r="J33" s="384">
        <f t="shared" si="2"/>
        <v>27000</v>
      </c>
      <c r="K33" s="278"/>
      <c r="L33" s="384">
        <f t="shared" si="3"/>
        <v>4860</v>
      </c>
    </row>
    <row r="34" spans="2:15">
      <c r="B34" s="378">
        <v>5</v>
      </c>
      <c r="D34" s="380" t="s">
        <v>541</v>
      </c>
      <c r="F34" s="291">
        <v>24000</v>
      </c>
      <c r="G34" s="278"/>
      <c r="H34" s="383">
        <v>0.18</v>
      </c>
      <c r="I34" s="278"/>
      <c r="J34" s="384">
        <f t="shared" si="2"/>
        <v>24000</v>
      </c>
      <c r="K34" s="278"/>
      <c r="L34" s="384">
        <f t="shared" si="3"/>
        <v>4320</v>
      </c>
    </row>
    <row r="35" spans="2:15">
      <c r="F35" s="381">
        <f>SUM(F31:F34)</f>
        <v>60000</v>
      </c>
      <c r="L35" s="381">
        <f>SUM(L31:L34)</f>
        <v>10800</v>
      </c>
    </row>
    <row r="36" spans="2:15">
      <c r="B36" s="489" t="s">
        <v>810</v>
      </c>
      <c r="C36" s="489"/>
      <c r="D36" s="489"/>
      <c r="E36" s="489"/>
      <c r="F36" s="489"/>
    </row>
    <row r="37" spans="2:15">
      <c r="B37" s="489"/>
      <c r="C37" s="489"/>
      <c r="D37" s="489"/>
      <c r="E37" s="489"/>
      <c r="F37" s="489"/>
    </row>
    <row r="38" spans="2:15">
      <c r="B38" s="308" t="s">
        <v>807</v>
      </c>
      <c r="D38" s="308" t="s">
        <v>822</v>
      </c>
      <c r="F38" s="308" t="s">
        <v>815</v>
      </c>
      <c r="H38" s="308" t="s">
        <v>816</v>
      </c>
      <c r="J38" s="308" t="s">
        <v>817</v>
      </c>
      <c r="L38" s="308" t="s">
        <v>818</v>
      </c>
    </row>
    <row r="39" spans="2:15" ht="4.8" customHeight="1"/>
    <row r="40" spans="2:15">
      <c r="B40" s="378">
        <v>1</v>
      </c>
      <c r="D40" s="379" t="s">
        <v>532</v>
      </c>
      <c r="F40" s="382">
        <f>VLOOKUP(B40,'TXT EFD ICMS IPI OUT'!$D$25:$P$30,5,0)</f>
        <v>5000</v>
      </c>
      <c r="G40" s="278"/>
      <c r="H40" s="383">
        <f>VLOOKUP(B40,'TXT EFD ICMS IPI OUT'!$D$25:$P$30,12,0)</f>
        <v>7.0000000000000007E-2</v>
      </c>
      <c r="I40" s="278"/>
      <c r="J40" s="382">
        <f>VLOOKUP(B40,'TXT EFD ICMS IPI OUT'!$D$25:$P$30,11,0)</f>
        <v>5000</v>
      </c>
      <c r="K40" s="278"/>
      <c r="L40" s="382">
        <f>VLOOKUP(B40,'TXT EFD ICMS IPI OUT'!$D$25:$P$30,13,0)</f>
        <v>350</v>
      </c>
      <c r="N40" s="281" t="s">
        <v>820</v>
      </c>
      <c r="O40" s="385">
        <f>L56</f>
        <v>10800</v>
      </c>
    </row>
    <row r="41" spans="2:15">
      <c r="B41" s="378">
        <v>2</v>
      </c>
      <c r="D41" s="380" t="s">
        <v>808</v>
      </c>
      <c r="F41" s="382">
        <f>VLOOKUP(B41,'TXT EFD ICMS IPI OUT'!$D$25:$P$30,5,0)</f>
        <v>8000</v>
      </c>
      <c r="G41" s="278"/>
      <c r="H41" s="383">
        <f>VLOOKUP(B41,'TXT EFD ICMS IPI OUT'!$D$25:$P$30,12,0)</f>
        <v>7.0000000000000007E-2</v>
      </c>
      <c r="I41" s="278"/>
      <c r="J41" s="382">
        <f>VLOOKUP(B41,'TXT EFD ICMS IPI OUT'!$D$25:$P$30,11,0)</f>
        <v>8000</v>
      </c>
      <c r="K41" s="278"/>
      <c r="L41" s="382">
        <f>VLOOKUP(B41,'TXT EFD ICMS IPI OUT'!$D$25:$P$30,13,0)</f>
        <v>560</v>
      </c>
      <c r="N41" s="386" t="s">
        <v>821</v>
      </c>
      <c r="O41" s="387">
        <f>L46</f>
        <v>5600</v>
      </c>
    </row>
    <row r="42" spans="2:15">
      <c r="B42" s="378">
        <v>3</v>
      </c>
      <c r="D42" s="380" t="s">
        <v>537</v>
      </c>
      <c r="F42" s="382">
        <f>VLOOKUP(B42,'TXT EFD ICMS IPI OUT'!$D$25:$P$30,5,0)</f>
        <v>3000</v>
      </c>
      <c r="G42" s="278"/>
      <c r="H42" s="383">
        <f>VLOOKUP(B42,'TXT EFD ICMS IPI OUT'!$D$25:$P$30,12,0)</f>
        <v>7.0000000000000007E-2</v>
      </c>
      <c r="I42" s="278"/>
      <c r="J42" s="382">
        <f>VLOOKUP(B42,'TXT EFD ICMS IPI OUT'!$D$25:$P$30,11,0)</f>
        <v>3000</v>
      </c>
      <c r="K42" s="278"/>
      <c r="L42" s="382">
        <f>VLOOKUP(B42,'TXT EFD ICMS IPI OUT'!$D$25:$P$30,13,0)</f>
        <v>210</v>
      </c>
      <c r="N42" s="367" t="s">
        <v>625</v>
      </c>
      <c r="O42" s="388">
        <f>O40-O41</f>
        <v>5200</v>
      </c>
    </row>
    <row r="43" spans="2:15">
      <c r="B43" s="378">
        <v>4</v>
      </c>
      <c r="D43" s="380" t="s">
        <v>538</v>
      </c>
      <c r="F43" s="382">
        <f>VLOOKUP(B43,'TXT EFD ICMS IPI OUT'!$D$25:$P$30,5,0)</f>
        <v>30000</v>
      </c>
      <c r="G43" s="278"/>
      <c r="H43" s="383">
        <f>VLOOKUP(B43,'TXT EFD ICMS IPI OUT'!$D$25:$P$30,12,0)</f>
        <v>7.0000000000000007E-2</v>
      </c>
      <c r="I43" s="278"/>
      <c r="J43" s="382">
        <f>VLOOKUP(B43,'TXT EFD ICMS IPI OUT'!$D$25:$P$30,11,0)</f>
        <v>30000</v>
      </c>
      <c r="K43" s="278"/>
      <c r="L43" s="382">
        <f>VLOOKUP(B43,'TXT EFD ICMS IPI OUT'!$D$25:$P$30,13,0)</f>
        <v>2100</v>
      </c>
    </row>
    <row r="44" spans="2:15">
      <c r="B44" s="378">
        <v>5</v>
      </c>
      <c r="D44" s="380" t="s">
        <v>541</v>
      </c>
      <c r="F44" s="382">
        <f>VLOOKUP(B44,'TXT EFD ICMS IPI OUT'!$D$25:$P$30,5,0)</f>
        <v>32000</v>
      </c>
      <c r="G44" s="278"/>
      <c r="H44" s="383">
        <f>VLOOKUP(B44,'TXT EFD ICMS IPI OUT'!$D$25:$P$30,12,0)</f>
        <v>7.0000000000000007E-2</v>
      </c>
      <c r="I44" s="278"/>
      <c r="J44" s="382">
        <f>VLOOKUP(B44,'TXT EFD ICMS IPI OUT'!$D$25:$P$30,11,0)</f>
        <v>32000</v>
      </c>
      <c r="K44" s="278"/>
      <c r="L44" s="382">
        <f>VLOOKUP(B44,'TXT EFD ICMS IPI OUT'!$D$25:$P$30,13,0)</f>
        <v>2240</v>
      </c>
    </row>
    <row r="45" spans="2:15">
      <c r="B45" s="378">
        <v>6</v>
      </c>
      <c r="D45" s="380" t="s">
        <v>542</v>
      </c>
      <c r="F45" s="382">
        <f>VLOOKUP(B45,'TXT EFD ICMS IPI OUT'!$D$25:$P$30,5,0)</f>
        <v>2000</v>
      </c>
      <c r="G45" s="278"/>
      <c r="H45" s="383">
        <f>VLOOKUP(B45,'TXT EFD ICMS IPI OUT'!$D$25:$P$30,12,0)</f>
        <v>7.0000000000000007E-2</v>
      </c>
      <c r="I45" s="278"/>
      <c r="J45" s="382">
        <f>VLOOKUP(B45,'TXT EFD ICMS IPI OUT'!$D$25:$P$30,11,0)</f>
        <v>2000</v>
      </c>
      <c r="K45" s="278"/>
      <c r="L45" s="382">
        <f>VLOOKUP(B45,'TXT EFD ICMS IPI OUT'!$D$25:$P$30,13,0)</f>
        <v>140</v>
      </c>
    </row>
    <row r="46" spans="2:15">
      <c r="F46" s="381">
        <f>SUM(F40:F45)</f>
        <v>80000</v>
      </c>
      <c r="L46" s="381">
        <f>SUM(L40:L45)</f>
        <v>5600</v>
      </c>
    </row>
    <row r="48" spans="2:15">
      <c r="B48" s="308" t="s">
        <v>807</v>
      </c>
      <c r="D48" s="308" t="s">
        <v>822</v>
      </c>
      <c r="F48" s="308" t="s">
        <v>815</v>
      </c>
      <c r="H48" s="308" t="s">
        <v>816</v>
      </c>
      <c r="J48" s="308" t="s">
        <v>817</v>
      </c>
      <c r="L48" s="308" t="s">
        <v>818</v>
      </c>
    </row>
    <row r="49" spans="2:15" ht="7.8" customHeight="1"/>
    <row r="50" spans="2:15">
      <c r="B50" s="378">
        <v>1</v>
      </c>
      <c r="D50" s="379" t="s">
        <v>532</v>
      </c>
      <c r="F50" s="382">
        <f>IFERROR(VLOOKUP(B50,'TXT EFD ICMS IPI OUT'!$D$33:$P$36,5,0),"")</f>
        <v>4500</v>
      </c>
      <c r="G50" s="278"/>
      <c r="H50" s="383">
        <f>IFERROR(VLOOKUP(B50,'TXT EFD ICMS IPI OUT'!$D$33:$P$36,12,0),"")</f>
        <v>0.18</v>
      </c>
      <c r="I50" s="278"/>
      <c r="J50" s="391">
        <f>IFERROR(VLOOKUP(B50,'TXT EFD ICMS IPI OUT'!$D$33:$P$36,11,0),"")</f>
        <v>4500</v>
      </c>
      <c r="K50" s="278"/>
      <c r="L50" s="391">
        <f>IFERROR(VLOOKUP(B50,'TXT EFD ICMS IPI OUT'!$D$33:$P$36,13,0),"")</f>
        <v>810</v>
      </c>
    </row>
    <row r="51" spans="2:15">
      <c r="B51" s="378">
        <v>2</v>
      </c>
      <c r="D51" s="380" t="s">
        <v>808</v>
      </c>
      <c r="F51" s="382" t="str">
        <f>IFERROR(VLOOKUP(B51,'TXT EFD ICMS IPI OUT'!$D$33:$P$36,5,0),"")</f>
        <v/>
      </c>
      <c r="G51" s="278"/>
      <c r="H51" s="383" t="str">
        <f>IFERROR(VLOOKUP(B51,'TXT EFD ICMS IPI OUT'!$D$33:$P$36,12,0),"")</f>
        <v/>
      </c>
      <c r="I51" s="278"/>
      <c r="J51" s="391" t="str">
        <f>IFERROR(VLOOKUP(B51,'TXT EFD ICMS IPI OUT'!$D$33:$P$36,11,0),"")</f>
        <v/>
      </c>
      <c r="K51" s="278"/>
      <c r="L51" s="391" t="str">
        <f>IFERROR(VLOOKUP(B51,'TXT EFD ICMS IPI OUT'!$D$33:$P$36,13,0),"")</f>
        <v/>
      </c>
    </row>
    <row r="52" spans="2:15">
      <c r="B52" s="378">
        <v>3</v>
      </c>
      <c r="D52" s="380" t="s">
        <v>537</v>
      </c>
      <c r="F52" s="382">
        <f>IFERROR(VLOOKUP(B52,'TXT EFD ICMS IPI OUT'!$D$33:$P$36,5,0),"")</f>
        <v>4500</v>
      </c>
      <c r="G52" s="278"/>
      <c r="H52" s="383">
        <f>IFERROR(VLOOKUP(B52,'TXT EFD ICMS IPI OUT'!$D$33:$P$36,12,0),"")</f>
        <v>0.18</v>
      </c>
      <c r="I52" s="278"/>
      <c r="J52" s="391">
        <f>IFERROR(VLOOKUP(B52,'TXT EFD ICMS IPI OUT'!$D$33:$P$36,11,0),"")</f>
        <v>4500</v>
      </c>
      <c r="K52" s="278"/>
      <c r="L52" s="391">
        <f>IFERROR(VLOOKUP(B52,'TXT EFD ICMS IPI OUT'!$D$33:$P$36,13,0),"")</f>
        <v>810</v>
      </c>
    </row>
    <row r="53" spans="2:15">
      <c r="B53" s="378">
        <v>4</v>
      </c>
      <c r="D53" s="380" t="s">
        <v>538</v>
      </c>
      <c r="F53" s="382">
        <f>IFERROR(VLOOKUP(B53,'TXT EFD ICMS IPI OUT'!$D$33:$P$36,5,0),"")</f>
        <v>27000</v>
      </c>
      <c r="G53" s="278"/>
      <c r="H53" s="383">
        <f>IFERROR(VLOOKUP(B53,'TXT EFD ICMS IPI OUT'!$D$33:$P$36,12,0),"")</f>
        <v>0.18</v>
      </c>
      <c r="I53" s="278"/>
      <c r="J53" s="391">
        <f>IFERROR(VLOOKUP(B53,'TXT EFD ICMS IPI OUT'!$D$33:$P$36,11,0),"")</f>
        <v>27000</v>
      </c>
      <c r="K53" s="278"/>
      <c r="L53" s="391">
        <f>IFERROR(VLOOKUP(B53,'TXT EFD ICMS IPI OUT'!$D$33:$P$36,13,0),"")</f>
        <v>4860</v>
      </c>
    </row>
    <row r="54" spans="2:15">
      <c r="B54" s="378">
        <v>5</v>
      </c>
      <c r="D54" s="380" t="s">
        <v>541</v>
      </c>
      <c r="F54" s="382">
        <f>IFERROR(VLOOKUP(B54,'TXT EFD ICMS IPI OUT'!$D$33:$P$36,5,0),"")</f>
        <v>24000</v>
      </c>
      <c r="G54" s="278"/>
      <c r="H54" s="383">
        <f>IFERROR(VLOOKUP(B54,'TXT EFD ICMS IPI OUT'!$D$33:$P$36,12,0),"")</f>
        <v>0.18</v>
      </c>
      <c r="I54" s="278"/>
      <c r="J54" s="391">
        <f>IFERROR(VLOOKUP(B54,'TXT EFD ICMS IPI OUT'!$D$33:$P$36,11,0),"")</f>
        <v>24000</v>
      </c>
      <c r="K54" s="278"/>
      <c r="L54" s="391">
        <f>IFERROR(VLOOKUP(B54,'TXT EFD ICMS IPI OUT'!$D$33:$P$36,13,0),"")</f>
        <v>4320</v>
      </c>
    </row>
    <row r="55" spans="2:15">
      <c r="B55" s="378">
        <v>6</v>
      </c>
      <c r="D55" s="380" t="s">
        <v>542</v>
      </c>
      <c r="F55" s="382" t="str">
        <f>IFERROR(VLOOKUP(B55,'TXT EFD ICMS IPI OUT'!$D$33:$P$36,5,0),"")</f>
        <v/>
      </c>
      <c r="G55" s="278"/>
      <c r="H55" s="383" t="str">
        <f>IFERROR(VLOOKUP(B55,'TXT EFD ICMS IPI OUT'!$D$33:$P$36,12,0),"")</f>
        <v/>
      </c>
      <c r="I55" s="278"/>
      <c r="J55" s="391" t="str">
        <f>IFERROR(VLOOKUP(B55,'TXT EFD ICMS IPI OUT'!$D$33:$P$36,11,0),"")</f>
        <v/>
      </c>
      <c r="K55" s="278"/>
      <c r="L55" s="391" t="str">
        <f>IFERROR(VLOOKUP(B55,'TXT EFD ICMS IPI OUT'!$D$33:$P$36,13,0),"")</f>
        <v/>
      </c>
    </row>
    <row r="56" spans="2:15">
      <c r="F56" s="381">
        <f>SUM(F50:F55)</f>
        <v>60000</v>
      </c>
      <c r="L56" s="381">
        <f>SUM(L50:L55)</f>
        <v>10800</v>
      </c>
    </row>
    <row r="60" spans="2:15">
      <c r="B60" s="488" t="s">
        <v>823</v>
      </c>
      <c r="C60" s="488"/>
      <c r="D60" s="488"/>
    </row>
    <row r="61" spans="2:15">
      <c r="B61" s="488"/>
      <c r="C61" s="488"/>
      <c r="D61" s="488"/>
    </row>
    <row r="62" spans="2:15" ht="10.8" customHeight="1"/>
    <row r="63" spans="2:15">
      <c r="B63" s="308" t="s">
        <v>807</v>
      </c>
      <c r="D63" s="308" t="s">
        <v>819</v>
      </c>
      <c r="F63" s="308" t="s">
        <v>815</v>
      </c>
      <c r="H63" s="308" t="s">
        <v>824</v>
      </c>
      <c r="J63" s="308" t="s">
        <v>825</v>
      </c>
      <c r="L63" s="308" t="s">
        <v>826</v>
      </c>
      <c r="N63" s="308" t="s">
        <v>827</v>
      </c>
      <c r="O63" s="394"/>
    </row>
    <row r="64" spans="2:15" ht="7.8" customHeight="1">
      <c r="O64" s="394"/>
    </row>
    <row r="65" spans="2:16">
      <c r="B65" s="378">
        <v>1</v>
      </c>
      <c r="D65" s="379" t="s">
        <v>532</v>
      </c>
      <c r="F65" s="382">
        <v>4500</v>
      </c>
      <c r="H65" s="393">
        <v>6.4999999999999997E-3</v>
      </c>
      <c r="J65" s="382">
        <f>F65*H65</f>
        <v>29.25</v>
      </c>
      <c r="L65" s="393">
        <v>0.03</v>
      </c>
      <c r="N65" s="382">
        <f>F65*L65</f>
        <v>135</v>
      </c>
      <c r="O65" s="394"/>
    </row>
    <row r="66" spans="2:16">
      <c r="B66" s="378">
        <v>3</v>
      </c>
      <c r="D66" s="380" t="s">
        <v>537</v>
      </c>
      <c r="F66" s="382">
        <v>4500</v>
      </c>
      <c r="H66" s="393">
        <v>6.4999999999999997E-3</v>
      </c>
      <c r="J66" s="382">
        <f t="shared" ref="J66:J68" si="4">F66*H66</f>
        <v>29.25</v>
      </c>
      <c r="L66" s="393">
        <v>0.03</v>
      </c>
      <c r="N66" s="382">
        <f t="shared" ref="N66:N68" si="5">F66*L66</f>
        <v>135</v>
      </c>
      <c r="O66" s="394"/>
    </row>
    <row r="67" spans="2:16">
      <c r="B67" s="378">
        <v>4</v>
      </c>
      <c r="D67" s="380" t="s">
        <v>538</v>
      </c>
      <c r="F67" s="291">
        <v>27000</v>
      </c>
      <c r="H67" s="393">
        <v>6.4999999999999997E-3</v>
      </c>
      <c r="J67" s="382">
        <f t="shared" si="4"/>
        <v>175.5</v>
      </c>
      <c r="L67" s="393">
        <v>0.03</v>
      </c>
      <c r="N67" s="382">
        <f t="shared" si="5"/>
        <v>810</v>
      </c>
      <c r="O67" s="394" t="s">
        <v>626</v>
      </c>
      <c r="P67" s="385">
        <f>J69+J74</f>
        <v>409.5</v>
      </c>
    </row>
    <row r="68" spans="2:16">
      <c r="B68" s="378">
        <v>5</v>
      </c>
      <c r="D68" s="380" t="s">
        <v>541</v>
      </c>
      <c r="F68" s="291">
        <v>24000</v>
      </c>
      <c r="H68" s="393">
        <v>6.4999999999999997E-3</v>
      </c>
      <c r="J68" s="382">
        <f t="shared" si="4"/>
        <v>156</v>
      </c>
      <c r="L68" s="393">
        <v>0.03</v>
      </c>
      <c r="N68" s="382">
        <f t="shared" si="5"/>
        <v>720</v>
      </c>
      <c r="O68" s="394" t="s">
        <v>627</v>
      </c>
      <c r="P68" s="385">
        <f>N69+N74</f>
        <v>1890</v>
      </c>
    </row>
    <row r="69" spans="2:16">
      <c r="J69" s="381">
        <f>SUM(J65:J68)</f>
        <v>390</v>
      </c>
      <c r="N69" s="381">
        <f>SUM(N65:N68)</f>
        <v>1800</v>
      </c>
      <c r="O69" s="394"/>
    </row>
    <row r="70" spans="2:16">
      <c r="O70" s="394"/>
    </row>
    <row r="71" spans="2:16">
      <c r="B71" s="308" t="s">
        <v>807</v>
      </c>
      <c r="D71" s="308" t="s">
        <v>819</v>
      </c>
      <c r="F71" s="308" t="s">
        <v>815</v>
      </c>
      <c r="H71" s="308" t="s">
        <v>824</v>
      </c>
      <c r="J71" s="308" t="s">
        <v>825</v>
      </c>
      <c r="L71" s="308" t="s">
        <v>826</v>
      </c>
      <c r="N71" s="308" t="s">
        <v>827</v>
      </c>
    </row>
    <row r="72" spans="2:16" ht="6.6" customHeight="1"/>
    <row r="73" spans="2:16">
      <c r="B73" s="378">
        <v>1</v>
      </c>
      <c r="D73" s="379" t="s">
        <v>828</v>
      </c>
      <c r="F73" s="382">
        <v>3000</v>
      </c>
      <c r="H73" s="393">
        <v>6.4999999999999997E-3</v>
      </c>
      <c r="J73" s="382">
        <f>F73*H73</f>
        <v>19.5</v>
      </c>
      <c r="L73" s="393">
        <v>0.03</v>
      </c>
      <c r="N73" s="382">
        <f>F73*L73</f>
        <v>90</v>
      </c>
    </row>
    <row r="74" spans="2:16">
      <c r="J74" s="381">
        <f>SUM(J70:J73)</f>
        <v>19.5</v>
      </c>
      <c r="N74" s="381">
        <f>SUM(N70:N73)</f>
        <v>90</v>
      </c>
    </row>
    <row r="76" spans="2:16">
      <c r="B76" s="489" t="s">
        <v>829</v>
      </c>
      <c r="C76" s="489"/>
      <c r="D76" s="489"/>
      <c r="E76" s="489"/>
      <c r="F76" s="489"/>
    </row>
    <row r="77" spans="2:16">
      <c r="B77" s="489"/>
      <c r="C77" s="489"/>
      <c r="D77" s="489"/>
      <c r="E77" s="489"/>
      <c r="F77" s="489"/>
    </row>
    <row r="78" spans="2:16">
      <c r="B78" s="308" t="s">
        <v>807</v>
      </c>
      <c r="D78" s="308" t="s">
        <v>822</v>
      </c>
      <c r="F78" s="308" t="s">
        <v>815</v>
      </c>
      <c r="H78" s="308" t="s">
        <v>824</v>
      </c>
      <c r="J78" s="308" t="s">
        <v>825</v>
      </c>
      <c r="L78" s="308" t="s">
        <v>826</v>
      </c>
      <c r="N78" s="308" t="s">
        <v>827</v>
      </c>
    </row>
    <row r="79" spans="2:16" ht="5.4" customHeight="1"/>
    <row r="80" spans="2:16">
      <c r="B80" s="378">
        <v>1</v>
      </c>
      <c r="D80" s="379" t="s">
        <v>532</v>
      </c>
      <c r="F80" s="391">
        <f>IFERROR(VLOOKUP(B80,'TXT EFD CONTRIBUIÇÕES'!$D$29:$AH$32,5,0),"")</f>
        <v>4500</v>
      </c>
      <c r="H80" s="396">
        <f>IFERROR(VLOOKUP(B80,'TXT EFD CONTRIBUIÇÕES'!$D$29:$AH$32,25,0),"")</f>
        <v>6.4999999999999997E-3</v>
      </c>
      <c r="J80" s="391">
        <f>IFERROR(VLOOKUP(B80,'TXT EFD CONTRIBUIÇÕES'!$D$29:$AH$32,28,0),"")</f>
        <v>29.25</v>
      </c>
      <c r="L80" s="383">
        <f>IFERROR(VLOOKUP(B80,'TXT EFD CONTRIBUIÇÕES'!$D$29:$AH$32,31,0),"")</f>
        <v>0.03</v>
      </c>
      <c r="N80" s="391">
        <f>IFERROR(VLOOKUP(B80,'TXT EFD CONTRIBUIÇÕES'!$D$29:$AK$32,34,0),"")</f>
        <v>135</v>
      </c>
    </row>
    <row r="81" spans="2:14">
      <c r="B81" s="378">
        <v>2</v>
      </c>
      <c r="D81" s="380" t="s">
        <v>808</v>
      </c>
      <c r="F81" s="391" t="str">
        <f>IFERROR(VLOOKUP(B81,'TXT EFD CONTRIBUIÇÕES'!$D$29:$AH$32,5,0),"")</f>
        <v/>
      </c>
      <c r="H81" s="396" t="str">
        <f>IFERROR(VLOOKUP(B81,'TXT EFD CONTRIBUIÇÕES'!$D$29:$AH$32,25,0),"")</f>
        <v/>
      </c>
      <c r="J81" s="391" t="str">
        <f>IFERROR(VLOOKUP(B81,'TXT EFD CONTRIBUIÇÕES'!$D$29:$AH$32,28,0),"")</f>
        <v/>
      </c>
      <c r="L81" s="383" t="str">
        <f>IFERROR(VLOOKUP(B81,'TXT EFD CONTRIBUIÇÕES'!$D$29:$AH$32,31,0),"")</f>
        <v/>
      </c>
      <c r="N81" s="391" t="str">
        <f>IFERROR(VLOOKUP(B81,'TXT EFD CONTRIBUIÇÕES'!$D$29:$AK$32,34,0),"")</f>
        <v/>
      </c>
    </row>
    <row r="82" spans="2:14">
      <c r="B82" s="378">
        <v>3</v>
      </c>
      <c r="D82" s="380" t="s">
        <v>537</v>
      </c>
      <c r="F82" s="391">
        <f>IFERROR(VLOOKUP(B82,'TXT EFD CONTRIBUIÇÕES'!$D$29:$AH$32,5,0),"")</f>
        <v>4500</v>
      </c>
      <c r="H82" s="396">
        <f>IFERROR(VLOOKUP(B82,'TXT EFD CONTRIBUIÇÕES'!$D$29:$AH$32,25,0),"")</f>
        <v>6.4999999999999997E-3</v>
      </c>
      <c r="J82" s="391">
        <f>IFERROR(VLOOKUP(B82,'TXT EFD CONTRIBUIÇÕES'!$D$29:$AH$32,28,0),"")</f>
        <v>29.25</v>
      </c>
      <c r="L82" s="383">
        <f>IFERROR(VLOOKUP(B82,'TXT EFD CONTRIBUIÇÕES'!$D$29:$AH$32,31,0),"")</f>
        <v>0.03</v>
      </c>
      <c r="N82" s="391">
        <f>IFERROR(VLOOKUP(B82,'TXT EFD CONTRIBUIÇÕES'!$D$29:$AK$32,34,0),"")</f>
        <v>135</v>
      </c>
    </row>
    <row r="83" spans="2:14">
      <c r="B83" s="378">
        <v>4</v>
      </c>
      <c r="D83" s="380" t="s">
        <v>538</v>
      </c>
      <c r="F83" s="391">
        <f>IFERROR(VLOOKUP(B83,'TXT EFD CONTRIBUIÇÕES'!$D$29:$AH$32,5,0),"")</f>
        <v>27000</v>
      </c>
      <c r="H83" s="396">
        <f>IFERROR(VLOOKUP(B83,'TXT EFD CONTRIBUIÇÕES'!$D$29:$AH$32,25,0),"")</f>
        <v>6.4999999999999997E-3</v>
      </c>
      <c r="J83" s="391">
        <f>IFERROR(VLOOKUP(B83,'TXT EFD CONTRIBUIÇÕES'!$D$29:$AH$32,28,0),"")</f>
        <v>175.5</v>
      </c>
      <c r="L83" s="383">
        <f>IFERROR(VLOOKUP(B83,'TXT EFD CONTRIBUIÇÕES'!$D$29:$AH$32,31,0),"")</f>
        <v>0.03</v>
      </c>
      <c r="N83" s="391">
        <f>IFERROR(VLOOKUP(B83,'TXT EFD CONTRIBUIÇÕES'!$D$29:$AK$32,34,0),"")</f>
        <v>810</v>
      </c>
    </row>
    <row r="84" spans="2:14">
      <c r="B84" s="378">
        <v>5</v>
      </c>
      <c r="D84" s="380" t="s">
        <v>541</v>
      </c>
      <c r="F84" s="391">
        <f>IFERROR(VLOOKUP(B84,'TXT EFD CONTRIBUIÇÕES'!$D$29:$AH$32,5,0),"")</f>
        <v>24000</v>
      </c>
      <c r="H84" s="396">
        <f>IFERROR(VLOOKUP(B84,'TXT EFD CONTRIBUIÇÕES'!$D$29:$AH$32,25,0),"")</f>
        <v>6.4999999999999997E-3</v>
      </c>
      <c r="J84" s="391">
        <f>IFERROR(VLOOKUP(B84,'TXT EFD CONTRIBUIÇÕES'!$D$29:$AH$32,28,0),"")</f>
        <v>156</v>
      </c>
      <c r="L84" s="383">
        <f>IFERROR(VLOOKUP(B84,'TXT EFD CONTRIBUIÇÕES'!$D$29:$AH$32,31,0),"")</f>
        <v>0.03</v>
      </c>
      <c r="N84" s="391">
        <f>IFERROR(VLOOKUP(B84,'TXT EFD CONTRIBUIÇÕES'!$D$29:$AK$32,34,0),"")</f>
        <v>720</v>
      </c>
    </row>
    <row r="85" spans="2:14">
      <c r="B85" s="378">
        <v>6</v>
      </c>
      <c r="D85" s="380" t="s">
        <v>542</v>
      </c>
      <c r="F85" s="391" t="str">
        <f>IFERROR(VLOOKUP(B85,'TXT EFD CONTRIBUIÇÕES'!$D$29:$AH$32,5,0),"")</f>
        <v/>
      </c>
      <c r="H85" s="396" t="str">
        <f>IFERROR(VLOOKUP(B85,'TXT EFD CONTRIBUIÇÕES'!$D$29:$AH$32,25,0),"")</f>
        <v/>
      </c>
      <c r="J85" s="391" t="str">
        <f>IFERROR(VLOOKUP(B85,'TXT EFD CONTRIBUIÇÕES'!$D$29:$AH$32,28,0),"")</f>
        <v/>
      </c>
      <c r="L85" s="383" t="str">
        <f>IFERROR(VLOOKUP(B85,'TXT EFD CONTRIBUIÇÕES'!$D$29:$AH$32,31,0),"")</f>
        <v/>
      </c>
      <c r="N85" s="391" t="str">
        <f>IFERROR(VLOOKUP(B85,'TXT EFD CONTRIBUIÇÕES'!$D$29:$AK$32,34,0),"")</f>
        <v/>
      </c>
    </row>
    <row r="86" spans="2:14">
      <c r="F86" s="381">
        <f>SUM(F80:F85)</f>
        <v>60000</v>
      </c>
      <c r="J86" s="381">
        <f>SUM(J80:K85)</f>
        <v>390</v>
      </c>
      <c r="N86" s="381">
        <f>SUM(N80:O85)</f>
        <v>1800</v>
      </c>
    </row>
  </sheetData>
  <mergeCells count="5">
    <mergeCell ref="B2:D3"/>
    <mergeCell ref="B16:D17"/>
    <mergeCell ref="B36:F37"/>
    <mergeCell ref="B60:D61"/>
    <mergeCell ref="B76:F77"/>
  </mergeCells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19558-A9D7-4A02-998E-5A950FA51CA5}">
  <sheetPr filterMode="1"/>
  <dimension ref="B2:AL97"/>
  <sheetViews>
    <sheetView showGridLines="0" topLeftCell="C1" workbookViewId="0">
      <selection activeCell="AK29" sqref="AK29"/>
    </sheetView>
  </sheetViews>
  <sheetFormatPr defaultRowHeight="17.399999999999999"/>
  <cols>
    <col min="1" max="1" width="8.88671875" style="278"/>
    <col min="2" max="2" width="15" style="371" bestFit="1" customWidth="1"/>
    <col min="3" max="3" width="16.33203125" style="278" bestFit="1" customWidth="1"/>
    <col min="4" max="4" width="16.6640625" style="278" bestFit="1" customWidth="1"/>
    <col min="5" max="6" width="16.33203125" style="278" bestFit="1" customWidth="1"/>
    <col min="7" max="7" width="11" style="278" bestFit="1" customWidth="1"/>
    <col min="8" max="8" width="16.77734375" style="278" customWidth="1"/>
    <col min="9" max="9" width="11" style="278" bestFit="1" customWidth="1"/>
    <col min="10" max="10" width="16.33203125" style="278" bestFit="1" customWidth="1"/>
    <col min="11" max="11" width="12.33203125" style="278" bestFit="1" customWidth="1"/>
    <col min="12" max="12" width="11" style="278" bestFit="1" customWidth="1"/>
    <col min="13" max="19" width="9.109375" style="278" bestFit="1" customWidth="1"/>
    <col min="20" max="21" width="8.88671875" style="278"/>
    <col min="22" max="23" width="9.109375" style="278" bestFit="1" customWidth="1"/>
    <col min="24" max="25" width="8.88671875" style="278"/>
    <col min="26" max="27" width="9.109375" style="278" bestFit="1" customWidth="1"/>
    <col min="28" max="28" width="16.21875" style="278" customWidth="1"/>
    <col min="29" max="30" width="8.88671875" style="278"/>
    <col min="31" max="31" width="10.5546875" style="278" bestFit="1" customWidth="1"/>
    <col min="32" max="32" width="9.109375" style="278" bestFit="1" customWidth="1"/>
    <col min="33" max="33" width="14.44140625" style="278" customWidth="1"/>
    <col min="34" max="34" width="10.21875" style="278" customWidth="1"/>
    <col min="35" max="35" width="13.5546875" style="278" customWidth="1"/>
    <col min="36" max="36" width="10.6640625" style="278" customWidth="1"/>
    <col min="37" max="37" width="12.88671875" style="278" customWidth="1"/>
    <col min="38" max="16384" width="8.88671875" style="278"/>
  </cols>
  <sheetData>
    <row r="2" spans="2:38" s="364" customFormat="1">
      <c r="B2" s="372" t="s">
        <v>741</v>
      </c>
      <c r="C2" s="372" t="s">
        <v>742</v>
      </c>
      <c r="D2" s="372" t="s">
        <v>743</v>
      </c>
      <c r="E2" s="372" t="s">
        <v>744</v>
      </c>
      <c r="F2" s="372" t="s">
        <v>745</v>
      </c>
      <c r="G2" s="372" t="s">
        <v>746</v>
      </c>
      <c r="H2" s="372" t="s">
        <v>747</v>
      </c>
      <c r="I2" s="372" t="s">
        <v>748</v>
      </c>
      <c r="J2" s="372" t="s">
        <v>749</v>
      </c>
      <c r="K2" s="372" t="s">
        <v>750</v>
      </c>
      <c r="L2" s="372" t="s">
        <v>751</v>
      </c>
      <c r="M2" s="372" t="s">
        <v>752</v>
      </c>
      <c r="N2" s="372" t="s">
        <v>753</v>
      </c>
      <c r="O2" s="372" t="s">
        <v>754</v>
      </c>
      <c r="P2" s="372" t="s">
        <v>755</v>
      </c>
      <c r="Q2" s="372" t="s">
        <v>756</v>
      </c>
      <c r="R2" s="372" t="s">
        <v>757</v>
      </c>
      <c r="S2" s="372" t="s">
        <v>758</v>
      </c>
      <c r="T2" s="372" t="s">
        <v>759</v>
      </c>
      <c r="U2" s="372" t="s">
        <v>760</v>
      </c>
      <c r="V2" s="372" t="s">
        <v>761</v>
      </c>
      <c r="W2" s="372" t="s">
        <v>762</v>
      </c>
      <c r="X2" s="372" t="s">
        <v>763</v>
      </c>
      <c r="Y2" s="372" t="s">
        <v>764</v>
      </c>
      <c r="Z2" s="372" t="s">
        <v>765</v>
      </c>
      <c r="AA2" s="372" t="s">
        <v>766</v>
      </c>
      <c r="AB2" s="372" t="s">
        <v>767</v>
      </c>
      <c r="AC2" s="372" t="s">
        <v>768</v>
      </c>
      <c r="AD2" s="372" t="s">
        <v>769</v>
      </c>
      <c r="AE2" s="372" t="s">
        <v>770</v>
      </c>
      <c r="AF2" s="372" t="s">
        <v>771</v>
      </c>
      <c r="AG2" s="372" t="s">
        <v>772</v>
      </c>
      <c r="AH2" s="372" t="s">
        <v>773</v>
      </c>
      <c r="AI2" s="372" t="s">
        <v>774</v>
      </c>
      <c r="AJ2" s="372" t="s">
        <v>775</v>
      </c>
      <c r="AK2" s="372" t="s">
        <v>830</v>
      </c>
      <c r="AL2" s="372" t="s">
        <v>831</v>
      </c>
    </row>
    <row r="3" spans="2:38" hidden="1">
      <c r="B3" s="371" t="s">
        <v>688</v>
      </c>
      <c r="C3" s="278">
        <v>6</v>
      </c>
      <c r="D3" s="278">
        <v>0</v>
      </c>
      <c r="G3" s="278">
        <v>1102023</v>
      </c>
      <c r="H3" s="278">
        <v>31102023</v>
      </c>
      <c r="I3" s="278" t="s">
        <v>469</v>
      </c>
      <c r="J3" s="278">
        <v>9184233000166</v>
      </c>
      <c r="K3" s="278" t="s">
        <v>253</v>
      </c>
      <c r="L3" s="278">
        <v>5300108</v>
      </c>
      <c r="N3" s="278">
        <v>0</v>
      </c>
      <c r="O3" s="278">
        <v>2</v>
      </c>
    </row>
    <row r="4" spans="2:38" hidden="1">
      <c r="B4" s="371" t="s">
        <v>690</v>
      </c>
      <c r="C4" s="278">
        <v>0</v>
      </c>
    </row>
    <row r="5" spans="2:38" hidden="1">
      <c r="B5" s="371" t="s">
        <v>694</v>
      </c>
      <c r="C5" s="278" t="s">
        <v>695</v>
      </c>
      <c r="D5" s="278">
        <v>73548936334</v>
      </c>
      <c r="E5" s="278" t="s">
        <v>696</v>
      </c>
    </row>
    <row r="6" spans="2:38" hidden="1">
      <c r="B6" s="371" t="s">
        <v>803</v>
      </c>
      <c r="C6" s="278">
        <v>2</v>
      </c>
      <c r="E6" s="278">
        <v>1</v>
      </c>
      <c r="F6" s="278">
        <v>9</v>
      </c>
    </row>
    <row r="7" spans="2:38" hidden="1">
      <c r="B7" s="371" t="s">
        <v>804</v>
      </c>
      <c r="D7" s="278" t="s">
        <v>469</v>
      </c>
      <c r="E7" s="278">
        <v>9184233000166</v>
      </c>
      <c r="F7" s="278" t="s">
        <v>253</v>
      </c>
      <c r="H7" s="278">
        <v>5300108</v>
      </c>
    </row>
    <row r="8" spans="2:38" hidden="1">
      <c r="B8" s="371" t="s">
        <v>698</v>
      </c>
      <c r="C8" s="278">
        <v>1</v>
      </c>
      <c r="D8" s="278" t="s">
        <v>699</v>
      </c>
      <c r="E8" s="278">
        <v>1058</v>
      </c>
      <c r="F8" s="278">
        <v>60052193000156</v>
      </c>
      <c r="I8" s="278">
        <v>3106200</v>
      </c>
      <c r="K8" s="278" t="s">
        <v>700</v>
      </c>
      <c r="L8" s="278">
        <v>367</v>
      </c>
      <c r="N8" s="278" t="s">
        <v>701</v>
      </c>
    </row>
    <row r="9" spans="2:38" hidden="1">
      <c r="B9" s="371" t="s">
        <v>698</v>
      </c>
      <c r="C9" s="278">
        <v>2</v>
      </c>
      <c r="D9" s="278" t="s">
        <v>702</v>
      </c>
      <c r="E9" s="278">
        <v>1058</v>
      </c>
      <c r="F9" s="278">
        <v>2730521000120</v>
      </c>
      <c r="I9" s="278">
        <v>5300108</v>
      </c>
      <c r="K9" s="278" t="s">
        <v>703</v>
      </c>
      <c r="L9" s="278">
        <v>45</v>
      </c>
      <c r="N9" s="278" t="s">
        <v>704</v>
      </c>
    </row>
    <row r="10" spans="2:38" hidden="1">
      <c r="B10" s="371" t="s">
        <v>705</v>
      </c>
      <c r="C10" s="278">
        <v>1</v>
      </c>
      <c r="D10" s="278" t="s">
        <v>706</v>
      </c>
    </row>
    <row r="11" spans="2:38">
      <c r="B11" s="371" t="s">
        <v>707</v>
      </c>
      <c r="C11" s="279">
        <v>1</v>
      </c>
      <c r="D11" s="278" t="s">
        <v>532</v>
      </c>
      <c r="G11" s="278">
        <v>1</v>
      </c>
      <c r="H11" s="278">
        <v>0</v>
      </c>
    </row>
    <row r="12" spans="2:38">
      <c r="B12" s="371" t="s">
        <v>707</v>
      </c>
      <c r="C12" s="279">
        <v>2</v>
      </c>
      <c r="D12" s="278" t="s">
        <v>534</v>
      </c>
      <c r="G12" s="278">
        <v>1</v>
      </c>
      <c r="H12" s="278">
        <v>0</v>
      </c>
    </row>
    <row r="13" spans="2:38">
      <c r="B13" s="371" t="s">
        <v>707</v>
      </c>
      <c r="C13" s="279">
        <v>3</v>
      </c>
      <c r="D13" s="278" t="s">
        <v>537</v>
      </c>
      <c r="G13" s="278">
        <v>1</v>
      </c>
      <c r="H13" s="278">
        <v>0</v>
      </c>
    </row>
    <row r="14" spans="2:38">
      <c r="B14" s="371" t="s">
        <v>707</v>
      </c>
      <c r="C14" s="279">
        <v>4</v>
      </c>
      <c r="D14" s="278" t="s">
        <v>538</v>
      </c>
      <c r="G14" s="278">
        <v>1</v>
      </c>
      <c r="H14" s="278">
        <v>0</v>
      </c>
    </row>
    <row r="15" spans="2:38">
      <c r="B15" s="371" t="s">
        <v>707</v>
      </c>
      <c r="C15" s="279">
        <v>5</v>
      </c>
      <c r="D15" s="278" t="s">
        <v>541</v>
      </c>
      <c r="G15" s="278">
        <v>1</v>
      </c>
      <c r="H15" s="278">
        <v>0</v>
      </c>
    </row>
    <row r="16" spans="2:38">
      <c r="B16" s="371" t="s">
        <v>707</v>
      </c>
      <c r="C16" s="279">
        <v>6</v>
      </c>
      <c r="D16" s="278" t="s">
        <v>542</v>
      </c>
      <c r="G16" s="278">
        <v>1</v>
      </c>
      <c r="H16" s="278">
        <v>0</v>
      </c>
    </row>
    <row r="17" spans="2:38">
      <c r="B17" s="371" t="s">
        <v>707</v>
      </c>
      <c r="C17" s="279">
        <v>7</v>
      </c>
      <c r="D17" s="278" t="s">
        <v>779</v>
      </c>
      <c r="H17" s="278">
        <v>9</v>
      </c>
    </row>
    <row r="18" spans="2:38" hidden="1">
      <c r="B18" s="371" t="s">
        <v>805</v>
      </c>
      <c r="C18" s="278">
        <v>1102023</v>
      </c>
      <c r="D18" s="278">
        <v>4</v>
      </c>
      <c r="E18" s="278" t="s">
        <v>689</v>
      </c>
      <c r="F18" s="278">
        <v>4</v>
      </c>
      <c r="G18" s="278" t="s">
        <v>780</v>
      </c>
      <c r="H18" s="278" t="s">
        <v>781</v>
      </c>
    </row>
    <row r="19" spans="2:38" hidden="1">
      <c r="B19" s="371" t="s">
        <v>805</v>
      </c>
      <c r="C19" s="278">
        <v>1102023</v>
      </c>
      <c r="D19" s="278">
        <v>4</v>
      </c>
      <c r="E19" s="278" t="s">
        <v>689</v>
      </c>
      <c r="F19" s="278">
        <v>4</v>
      </c>
      <c r="G19" s="278" t="s">
        <v>782</v>
      </c>
      <c r="H19" s="278" t="s">
        <v>622</v>
      </c>
    </row>
    <row r="20" spans="2:38" hidden="1">
      <c r="B20" s="371" t="s">
        <v>708</v>
      </c>
      <c r="C20" s="278">
        <v>18</v>
      </c>
    </row>
    <row r="21" spans="2:38" hidden="1">
      <c r="B21" s="371" t="s">
        <v>783</v>
      </c>
      <c r="C21" s="278">
        <v>0</v>
      </c>
    </row>
    <row r="22" spans="2:38" hidden="1">
      <c r="B22" s="371" t="s">
        <v>784</v>
      </c>
      <c r="C22" s="278">
        <v>9184233000166</v>
      </c>
    </row>
    <row r="23" spans="2:38" hidden="1">
      <c r="B23" s="371" t="s">
        <v>785</v>
      </c>
      <c r="C23" s="278">
        <v>1</v>
      </c>
      <c r="D23" s="278">
        <v>0</v>
      </c>
      <c r="E23" s="278">
        <v>2</v>
      </c>
      <c r="F23" s="278">
        <v>0</v>
      </c>
      <c r="I23" s="278">
        <v>1</v>
      </c>
      <c r="K23" s="278">
        <v>25102023</v>
      </c>
      <c r="M23" s="278">
        <v>5000</v>
      </c>
      <c r="N23" s="278">
        <v>1</v>
      </c>
      <c r="P23" s="278">
        <v>5000</v>
      </c>
      <c r="Q23" s="278">
        <v>32.5</v>
      </c>
      <c r="R23" s="278">
        <v>5000</v>
      </c>
      <c r="S23" s="278">
        <v>150</v>
      </c>
    </row>
    <row r="24" spans="2:38" hidden="1">
      <c r="B24" s="371" t="s">
        <v>786</v>
      </c>
      <c r="C24" s="278">
        <v>1</v>
      </c>
      <c r="D24" s="278">
        <v>7</v>
      </c>
      <c r="F24" s="278">
        <v>5000</v>
      </c>
      <c r="J24" s="278">
        <v>1</v>
      </c>
      <c r="K24" s="278">
        <v>5000</v>
      </c>
      <c r="L24" s="278">
        <v>0.65</v>
      </c>
      <c r="M24" s="278">
        <v>32.5</v>
      </c>
      <c r="N24" s="278">
        <v>1</v>
      </c>
      <c r="O24" s="278">
        <v>5000</v>
      </c>
      <c r="P24" s="278">
        <v>3</v>
      </c>
      <c r="Q24" s="278">
        <v>150</v>
      </c>
      <c r="R24" s="278" t="s">
        <v>782</v>
      </c>
    </row>
    <row r="25" spans="2:38" hidden="1">
      <c r="B25" s="371" t="s">
        <v>787</v>
      </c>
      <c r="C25" s="278">
        <v>5</v>
      </c>
    </row>
    <row r="26" spans="2:38" hidden="1">
      <c r="B26" s="371" t="s">
        <v>715</v>
      </c>
      <c r="C26" s="278">
        <v>0</v>
      </c>
    </row>
    <row r="27" spans="2:38" hidden="1">
      <c r="B27" s="371" t="s">
        <v>788</v>
      </c>
      <c r="C27" s="278">
        <v>9184233000166</v>
      </c>
    </row>
    <row r="28" spans="2:38">
      <c r="B28" s="373" t="s">
        <v>716</v>
      </c>
      <c r="C28" s="370">
        <v>1</v>
      </c>
      <c r="D28" s="278">
        <v>0</v>
      </c>
      <c r="E28" s="278">
        <v>2</v>
      </c>
      <c r="F28" s="278">
        <v>1</v>
      </c>
      <c r="G28" s="278">
        <v>0</v>
      </c>
      <c r="I28" s="278">
        <v>1</v>
      </c>
      <c r="K28" s="278">
        <v>25102023</v>
      </c>
      <c r="M28" s="278">
        <v>60000</v>
      </c>
      <c r="N28" s="278">
        <v>0</v>
      </c>
      <c r="Q28" s="278">
        <v>60000</v>
      </c>
      <c r="R28" s="278">
        <v>9</v>
      </c>
      <c r="V28" s="278">
        <v>60000</v>
      </c>
      <c r="W28" s="278">
        <v>10800</v>
      </c>
      <c r="AA28" s="278">
        <v>390</v>
      </c>
      <c r="AB28" s="278">
        <v>1800</v>
      </c>
    </row>
    <row r="29" spans="2:38">
      <c r="B29" s="371" t="s">
        <v>717</v>
      </c>
      <c r="C29" s="278">
        <v>1</v>
      </c>
      <c r="D29" s="279">
        <v>1</v>
      </c>
      <c r="F29" s="278">
        <v>3</v>
      </c>
      <c r="G29" s="278">
        <v>1</v>
      </c>
      <c r="H29" s="389">
        <v>4500</v>
      </c>
      <c r="J29" s="278">
        <v>0</v>
      </c>
      <c r="K29" s="278">
        <v>0</v>
      </c>
      <c r="L29" s="278">
        <v>5102</v>
      </c>
      <c r="N29" s="278">
        <v>4500</v>
      </c>
      <c r="O29" s="278">
        <v>18</v>
      </c>
      <c r="Z29" s="278">
        <v>1</v>
      </c>
      <c r="AA29" s="278">
        <v>4500</v>
      </c>
      <c r="AB29" s="395">
        <v>6.4999999999999997E-3</v>
      </c>
      <c r="AE29" s="389">
        <v>29.25</v>
      </c>
      <c r="AF29" s="278">
        <v>1</v>
      </c>
      <c r="AG29" s="278">
        <v>4500</v>
      </c>
      <c r="AH29" s="395">
        <v>0.03</v>
      </c>
      <c r="AK29" s="389">
        <v>135</v>
      </c>
      <c r="AL29" s="278" t="s">
        <v>780</v>
      </c>
    </row>
    <row r="30" spans="2:38">
      <c r="B30" s="371" t="s">
        <v>717</v>
      </c>
      <c r="C30" s="278">
        <v>2</v>
      </c>
      <c r="D30" s="279">
        <v>4</v>
      </c>
      <c r="F30" s="278">
        <v>6</v>
      </c>
      <c r="G30" s="278">
        <v>1</v>
      </c>
      <c r="H30" s="389">
        <v>27000</v>
      </c>
      <c r="J30" s="278">
        <v>0</v>
      </c>
      <c r="K30" s="278">
        <v>0</v>
      </c>
      <c r="L30" s="278">
        <v>5102</v>
      </c>
      <c r="N30" s="278">
        <v>27000</v>
      </c>
      <c r="O30" s="278">
        <v>18</v>
      </c>
      <c r="Z30" s="278">
        <v>1</v>
      </c>
      <c r="AA30" s="278">
        <v>27000</v>
      </c>
      <c r="AB30" s="395">
        <v>6.4999999999999997E-3</v>
      </c>
      <c r="AE30" s="389">
        <v>175.5</v>
      </c>
      <c r="AF30" s="278">
        <v>1</v>
      </c>
      <c r="AG30" s="278">
        <v>27000</v>
      </c>
      <c r="AH30" s="395">
        <v>0.03</v>
      </c>
      <c r="AK30" s="389">
        <v>810</v>
      </c>
      <c r="AL30" s="278" t="s">
        <v>780</v>
      </c>
    </row>
    <row r="31" spans="2:38">
      <c r="B31" s="371" t="s">
        <v>717</v>
      </c>
      <c r="C31" s="278">
        <v>3</v>
      </c>
      <c r="D31" s="279">
        <v>3</v>
      </c>
      <c r="F31" s="278">
        <v>10</v>
      </c>
      <c r="G31" s="278">
        <v>1</v>
      </c>
      <c r="H31" s="389">
        <v>4500</v>
      </c>
      <c r="J31" s="278">
        <v>0</v>
      </c>
      <c r="K31" s="278">
        <v>0</v>
      </c>
      <c r="L31" s="278">
        <v>5102</v>
      </c>
      <c r="N31" s="278">
        <v>4500</v>
      </c>
      <c r="O31" s="278">
        <v>18</v>
      </c>
      <c r="Z31" s="278">
        <v>1</v>
      </c>
      <c r="AA31" s="278">
        <v>4500</v>
      </c>
      <c r="AB31" s="395">
        <v>6.4999999999999997E-3</v>
      </c>
      <c r="AE31" s="389">
        <v>29.25</v>
      </c>
      <c r="AF31" s="278">
        <v>1</v>
      </c>
      <c r="AG31" s="278">
        <v>4500</v>
      </c>
      <c r="AH31" s="395">
        <v>0.03</v>
      </c>
      <c r="AK31" s="389">
        <v>135</v>
      </c>
      <c r="AL31" s="278" t="s">
        <v>780</v>
      </c>
    </row>
    <row r="32" spans="2:38">
      <c r="B32" s="371" t="s">
        <v>717</v>
      </c>
      <c r="C32" s="278">
        <v>4</v>
      </c>
      <c r="D32" s="279">
        <v>5</v>
      </c>
      <c r="F32" s="278">
        <v>4</v>
      </c>
      <c r="G32" s="278">
        <v>1</v>
      </c>
      <c r="H32" s="389">
        <v>24000</v>
      </c>
      <c r="J32" s="278">
        <v>0</v>
      </c>
      <c r="K32" s="278">
        <v>0</v>
      </c>
      <c r="L32" s="278">
        <v>5102</v>
      </c>
      <c r="N32" s="278">
        <v>24000</v>
      </c>
      <c r="O32" s="278">
        <v>18</v>
      </c>
      <c r="Z32" s="278">
        <v>1</v>
      </c>
      <c r="AA32" s="278">
        <v>24000</v>
      </c>
      <c r="AB32" s="395">
        <v>6.4999999999999997E-3</v>
      </c>
      <c r="AE32" s="389">
        <v>156</v>
      </c>
      <c r="AF32" s="278">
        <v>1</v>
      </c>
      <c r="AG32" s="278">
        <v>24000</v>
      </c>
      <c r="AH32" s="395">
        <v>0.03</v>
      </c>
      <c r="AK32" s="389">
        <v>720</v>
      </c>
      <c r="AL32" s="278" t="s">
        <v>780</v>
      </c>
    </row>
    <row r="33" spans="2:17" hidden="1">
      <c r="B33" s="371" t="s">
        <v>719</v>
      </c>
      <c r="C33" s="278">
        <v>8</v>
      </c>
    </row>
    <row r="34" spans="2:17" hidden="1">
      <c r="B34" s="371" t="s">
        <v>720</v>
      </c>
      <c r="C34" s="278">
        <v>1</v>
      </c>
    </row>
    <row r="35" spans="2:17" hidden="1">
      <c r="B35" s="371" t="s">
        <v>721</v>
      </c>
      <c r="C35" s="278">
        <v>2</v>
      </c>
    </row>
    <row r="36" spans="2:17" hidden="1">
      <c r="B36" s="371" t="s">
        <v>789</v>
      </c>
      <c r="C36" s="278">
        <v>1</v>
      </c>
    </row>
    <row r="37" spans="2:17" hidden="1">
      <c r="B37" s="371" t="s">
        <v>790</v>
      </c>
      <c r="C37" s="278">
        <v>2</v>
      </c>
    </row>
    <row r="38" spans="2:17" hidden="1">
      <c r="B38" s="371" t="s">
        <v>791</v>
      </c>
      <c r="C38" s="278">
        <v>1</v>
      </c>
    </row>
    <row r="39" spans="2:17" hidden="1">
      <c r="B39" s="371" t="s">
        <v>792</v>
      </c>
      <c r="C39" s="278">
        <v>2</v>
      </c>
    </row>
    <row r="40" spans="2:17" hidden="1">
      <c r="B40" s="371" t="s">
        <v>793</v>
      </c>
      <c r="C40" s="278">
        <v>0</v>
      </c>
    </row>
    <row r="41" spans="2:17" hidden="1">
      <c r="B41" s="371" t="s">
        <v>794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78">
        <v>0</v>
      </c>
      <c r="I41" s="278">
        <v>0</v>
      </c>
      <c r="J41" s="278">
        <v>422.5</v>
      </c>
      <c r="K41" s="278">
        <v>0</v>
      </c>
      <c r="L41" s="278">
        <v>0</v>
      </c>
      <c r="M41" s="278">
        <v>422.5</v>
      </c>
      <c r="N41" s="278">
        <v>422.5</v>
      </c>
    </row>
    <row r="42" spans="2:17" hidden="1">
      <c r="B42" s="371" t="s">
        <v>795</v>
      </c>
      <c r="C42" s="278">
        <v>12</v>
      </c>
      <c r="D42" s="278">
        <v>691201</v>
      </c>
      <c r="E42" s="278">
        <v>422.5</v>
      </c>
    </row>
    <row r="43" spans="2:17" hidden="1">
      <c r="B43" s="371" t="s">
        <v>796</v>
      </c>
      <c r="C43" s="278">
        <v>51</v>
      </c>
      <c r="D43" s="278">
        <v>65000</v>
      </c>
      <c r="E43" s="278">
        <v>65000</v>
      </c>
      <c r="F43" s="278">
        <v>0</v>
      </c>
      <c r="G43" s="278">
        <v>0</v>
      </c>
      <c r="H43" s="278">
        <v>65000</v>
      </c>
      <c r="I43" s="278">
        <v>0.65</v>
      </c>
      <c r="J43" s="278">
        <v>0</v>
      </c>
      <c r="L43" s="278">
        <v>422.5</v>
      </c>
      <c r="M43" s="278">
        <v>0</v>
      </c>
      <c r="N43" s="278">
        <v>0</v>
      </c>
      <c r="O43" s="278">
        <v>0</v>
      </c>
      <c r="P43" s="278">
        <v>0</v>
      </c>
      <c r="Q43" s="278">
        <v>422.5</v>
      </c>
    </row>
    <row r="44" spans="2:17" hidden="1">
      <c r="B44" s="371" t="s">
        <v>797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78">
        <v>0</v>
      </c>
      <c r="I44" s="278">
        <v>0</v>
      </c>
      <c r="J44" s="278">
        <v>1950</v>
      </c>
      <c r="K44" s="278">
        <v>0</v>
      </c>
      <c r="L44" s="278">
        <v>0</v>
      </c>
      <c r="M44" s="278">
        <v>1950</v>
      </c>
      <c r="N44" s="278">
        <v>1950</v>
      </c>
    </row>
    <row r="45" spans="2:17" hidden="1">
      <c r="B45" s="371" t="s">
        <v>798</v>
      </c>
      <c r="C45" s="278">
        <v>12</v>
      </c>
      <c r="D45" s="278">
        <v>217201</v>
      </c>
      <c r="E45" s="278">
        <v>1950</v>
      </c>
    </row>
    <row r="46" spans="2:17" hidden="1">
      <c r="B46" s="371" t="s">
        <v>799</v>
      </c>
      <c r="C46" s="278">
        <v>51</v>
      </c>
      <c r="D46" s="278">
        <v>65000</v>
      </c>
      <c r="E46" s="278">
        <v>65000</v>
      </c>
      <c r="F46" s="278">
        <v>0</v>
      </c>
      <c r="G46" s="278">
        <v>0</v>
      </c>
      <c r="H46" s="278">
        <v>65000</v>
      </c>
      <c r="I46" s="278">
        <v>3</v>
      </c>
      <c r="J46" s="278">
        <v>0</v>
      </c>
      <c r="L46" s="278">
        <v>1950</v>
      </c>
      <c r="M46" s="278">
        <v>0</v>
      </c>
      <c r="N46" s="278">
        <v>0</v>
      </c>
      <c r="O46" s="278">
        <v>0</v>
      </c>
      <c r="P46" s="278">
        <v>0</v>
      </c>
      <c r="Q46" s="278">
        <v>1950</v>
      </c>
    </row>
    <row r="47" spans="2:17" hidden="1">
      <c r="B47" s="371" t="s">
        <v>800</v>
      </c>
      <c r="C47" s="278">
        <v>8</v>
      </c>
    </row>
    <row r="48" spans="2:17" hidden="1">
      <c r="B48" s="371" t="s">
        <v>801</v>
      </c>
      <c r="C48" s="278">
        <v>1</v>
      </c>
    </row>
    <row r="49" spans="2:4" hidden="1">
      <c r="B49" s="371" t="s">
        <v>802</v>
      </c>
      <c r="C49" s="278">
        <v>2</v>
      </c>
    </row>
    <row r="50" spans="2:4" hidden="1">
      <c r="B50" s="371">
        <v>1001</v>
      </c>
      <c r="C50" s="278">
        <v>1</v>
      </c>
    </row>
    <row r="51" spans="2:4" hidden="1">
      <c r="B51" s="371">
        <v>1990</v>
      </c>
      <c r="C51" s="278">
        <v>2</v>
      </c>
    </row>
    <row r="52" spans="2:4" hidden="1">
      <c r="B52" s="371">
        <v>9001</v>
      </c>
      <c r="C52" s="278">
        <v>0</v>
      </c>
    </row>
    <row r="53" spans="2:4" hidden="1">
      <c r="B53" s="371">
        <v>9900</v>
      </c>
      <c r="C53" s="278">
        <v>0</v>
      </c>
      <c r="D53" s="278">
        <v>1</v>
      </c>
    </row>
    <row r="54" spans="2:4" hidden="1">
      <c r="B54" s="371">
        <v>9900</v>
      </c>
      <c r="C54" s="278">
        <v>1</v>
      </c>
      <c r="D54" s="278">
        <v>1</v>
      </c>
    </row>
    <row r="55" spans="2:4" hidden="1">
      <c r="B55" s="371">
        <v>9900</v>
      </c>
      <c r="C55" s="278">
        <v>100</v>
      </c>
      <c r="D55" s="278">
        <v>1</v>
      </c>
    </row>
    <row r="56" spans="2:4" hidden="1">
      <c r="B56" s="371">
        <v>9900</v>
      </c>
      <c r="C56" s="278">
        <v>110</v>
      </c>
      <c r="D56" s="278">
        <v>1</v>
      </c>
    </row>
    <row r="57" spans="2:4" hidden="1">
      <c r="B57" s="371">
        <v>9900</v>
      </c>
      <c r="C57" s="278">
        <v>140</v>
      </c>
      <c r="D57" s="278">
        <v>1</v>
      </c>
    </row>
    <row r="58" spans="2:4" hidden="1">
      <c r="B58" s="371">
        <v>9900</v>
      </c>
      <c r="C58" s="278">
        <v>150</v>
      </c>
      <c r="D58" s="278">
        <v>2</v>
      </c>
    </row>
    <row r="59" spans="2:4" hidden="1">
      <c r="B59" s="371">
        <v>9900</v>
      </c>
      <c r="C59" s="278">
        <v>190</v>
      </c>
      <c r="D59" s="278">
        <v>1</v>
      </c>
    </row>
    <row r="60" spans="2:4" hidden="1">
      <c r="B60" s="371">
        <v>9900</v>
      </c>
      <c r="C60" s="278">
        <v>200</v>
      </c>
      <c r="D60" s="278">
        <v>7</v>
      </c>
    </row>
    <row r="61" spans="2:4" hidden="1">
      <c r="B61" s="371">
        <v>9900</v>
      </c>
      <c r="C61" s="278">
        <v>500</v>
      </c>
      <c r="D61" s="278">
        <v>2</v>
      </c>
    </row>
    <row r="62" spans="2:4" hidden="1">
      <c r="B62" s="371">
        <v>9900</v>
      </c>
      <c r="C62" s="278">
        <v>990</v>
      </c>
      <c r="D62" s="278">
        <v>1</v>
      </c>
    </row>
    <row r="63" spans="2:4" hidden="1">
      <c r="B63" s="371">
        <v>9900</v>
      </c>
      <c r="C63" s="278">
        <v>1001</v>
      </c>
      <c r="D63" s="278">
        <v>1</v>
      </c>
    </row>
    <row r="64" spans="2:4" hidden="1">
      <c r="B64" s="371">
        <v>9900</v>
      </c>
      <c r="C64" s="278">
        <v>1990</v>
      </c>
      <c r="D64" s="278">
        <v>1</v>
      </c>
    </row>
    <row r="65" spans="2:4" hidden="1">
      <c r="B65" s="371">
        <v>9900</v>
      </c>
      <c r="C65" s="278">
        <v>9001</v>
      </c>
      <c r="D65" s="278">
        <v>1</v>
      </c>
    </row>
    <row r="66" spans="2:4" hidden="1">
      <c r="B66" s="371">
        <v>9900</v>
      </c>
      <c r="C66" s="278">
        <v>9990</v>
      </c>
      <c r="D66" s="278">
        <v>1</v>
      </c>
    </row>
    <row r="67" spans="2:4" hidden="1">
      <c r="B67" s="371">
        <v>9900</v>
      </c>
      <c r="C67" s="278">
        <v>9999</v>
      </c>
      <c r="D67" s="278">
        <v>1</v>
      </c>
    </row>
    <row r="68" spans="2:4" hidden="1">
      <c r="B68" s="371">
        <v>9900</v>
      </c>
      <c r="C68" s="278" t="s">
        <v>783</v>
      </c>
      <c r="D68" s="278">
        <v>1</v>
      </c>
    </row>
    <row r="69" spans="2:4" hidden="1">
      <c r="B69" s="371">
        <v>9900</v>
      </c>
      <c r="C69" s="278" t="s">
        <v>784</v>
      </c>
      <c r="D69" s="278">
        <v>1</v>
      </c>
    </row>
    <row r="70" spans="2:4" hidden="1">
      <c r="B70" s="371">
        <v>9900</v>
      </c>
      <c r="C70" s="278" t="s">
        <v>785</v>
      </c>
      <c r="D70" s="278">
        <v>1</v>
      </c>
    </row>
    <row r="71" spans="2:4" hidden="1">
      <c r="B71" s="371">
        <v>9900</v>
      </c>
      <c r="C71" s="278" t="s">
        <v>786</v>
      </c>
      <c r="D71" s="278">
        <v>1</v>
      </c>
    </row>
    <row r="72" spans="2:4" hidden="1">
      <c r="B72" s="371">
        <v>9900</v>
      </c>
      <c r="C72" s="278" t="s">
        <v>787</v>
      </c>
      <c r="D72" s="278">
        <v>1</v>
      </c>
    </row>
    <row r="73" spans="2:4" hidden="1">
      <c r="B73" s="371">
        <v>9900</v>
      </c>
      <c r="C73" s="278" t="s">
        <v>715</v>
      </c>
      <c r="D73" s="278">
        <v>1</v>
      </c>
    </row>
    <row r="74" spans="2:4" hidden="1">
      <c r="B74" s="371">
        <v>9900</v>
      </c>
      <c r="C74" s="278" t="s">
        <v>788</v>
      </c>
      <c r="D74" s="278">
        <v>1</v>
      </c>
    </row>
    <row r="75" spans="2:4" hidden="1">
      <c r="B75" s="371">
        <v>9900</v>
      </c>
      <c r="C75" s="278" t="s">
        <v>716</v>
      </c>
      <c r="D75" s="278">
        <v>1</v>
      </c>
    </row>
    <row r="76" spans="2:4" hidden="1">
      <c r="B76" s="371">
        <v>9900</v>
      </c>
      <c r="C76" s="278" t="s">
        <v>717</v>
      </c>
      <c r="D76" s="278">
        <v>4</v>
      </c>
    </row>
    <row r="77" spans="2:4" hidden="1">
      <c r="B77" s="371">
        <v>9900</v>
      </c>
      <c r="C77" s="278" t="s">
        <v>719</v>
      </c>
      <c r="D77" s="278">
        <v>1</v>
      </c>
    </row>
    <row r="78" spans="2:4" hidden="1">
      <c r="B78" s="371">
        <v>9900</v>
      </c>
      <c r="C78" s="278" t="s">
        <v>720</v>
      </c>
      <c r="D78" s="278">
        <v>1</v>
      </c>
    </row>
    <row r="79" spans="2:4" hidden="1">
      <c r="B79" s="371">
        <v>9900</v>
      </c>
      <c r="C79" s="278" t="s">
        <v>721</v>
      </c>
      <c r="D79" s="278">
        <v>1</v>
      </c>
    </row>
    <row r="80" spans="2:4" hidden="1">
      <c r="B80" s="371">
        <v>9900</v>
      </c>
      <c r="C80" s="278" t="s">
        <v>789</v>
      </c>
      <c r="D80" s="278">
        <v>1</v>
      </c>
    </row>
    <row r="81" spans="2:4" hidden="1">
      <c r="B81" s="371">
        <v>9900</v>
      </c>
      <c r="C81" s="278" t="s">
        <v>790</v>
      </c>
      <c r="D81" s="278">
        <v>1</v>
      </c>
    </row>
    <row r="82" spans="2:4" hidden="1">
      <c r="B82" s="371">
        <v>9900</v>
      </c>
      <c r="C82" s="278" t="s">
        <v>791</v>
      </c>
      <c r="D82" s="278">
        <v>1</v>
      </c>
    </row>
    <row r="83" spans="2:4" hidden="1">
      <c r="B83" s="371">
        <v>9900</v>
      </c>
      <c r="C83" s="278" t="s">
        <v>792</v>
      </c>
      <c r="D83" s="278">
        <v>1</v>
      </c>
    </row>
    <row r="84" spans="2:4" hidden="1">
      <c r="B84" s="371">
        <v>9900</v>
      </c>
      <c r="C84" s="278" t="s">
        <v>793</v>
      </c>
      <c r="D84" s="278">
        <v>1</v>
      </c>
    </row>
    <row r="85" spans="2:4" hidden="1">
      <c r="B85" s="371">
        <v>9900</v>
      </c>
      <c r="C85" s="278" t="s">
        <v>794</v>
      </c>
      <c r="D85" s="278">
        <v>1</v>
      </c>
    </row>
    <row r="86" spans="2:4" hidden="1">
      <c r="B86" s="371">
        <v>9900</v>
      </c>
      <c r="C86" s="278" t="s">
        <v>795</v>
      </c>
      <c r="D86" s="278">
        <v>1</v>
      </c>
    </row>
    <row r="87" spans="2:4" hidden="1">
      <c r="B87" s="371">
        <v>9900</v>
      </c>
      <c r="C87" s="278" t="s">
        <v>796</v>
      </c>
      <c r="D87" s="278">
        <v>1</v>
      </c>
    </row>
    <row r="88" spans="2:4" hidden="1">
      <c r="B88" s="371">
        <v>9900</v>
      </c>
      <c r="C88" s="278" t="s">
        <v>797</v>
      </c>
      <c r="D88" s="278">
        <v>1</v>
      </c>
    </row>
    <row r="89" spans="2:4" hidden="1">
      <c r="B89" s="371">
        <v>9900</v>
      </c>
      <c r="C89" s="278" t="s">
        <v>798</v>
      </c>
      <c r="D89" s="278">
        <v>1</v>
      </c>
    </row>
    <row r="90" spans="2:4" hidden="1">
      <c r="B90" s="371">
        <v>9900</v>
      </c>
      <c r="C90" s="278" t="s">
        <v>799</v>
      </c>
      <c r="D90" s="278">
        <v>1</v>
      </c>
    </row>
    <row r="91" spans="2:4" hidden="1">
      <c r="B91" s="371">
        <v>9900</v>
      </c>
      <c r="C91" s="278" t="s">
        <v>800</v>
      </c>
      <c r="D91" s="278">
        <v>1</v>
      </c>
    </row>
    <row r="92" spans="2:4" hidden="1">
      <c r="B92" s="371">
        <v>9900</v>
      </c>
      <c r="C92" s="278" t="s">
        <v>801</v>
      </c>
      <c r="D92" s="278">
        <v>1</v>
      </c>
    </row>
    <row r="93" spans="2:4" hidden="1">
      <c r="B93" s="371">
        <v>9900</v>
      </c>
      <c r="C93" s="278" t="s">
        <v>802</v>
      </c>
      <c r="D93" s="278">
        <v>1</v>
      </c>
    </row>
    <row r="94" spans="2:4" hidden="1">
      <c r="B94" s="371">
        <v>9900</v>
      </c>
      <c r="C94" s="278">
        <v>9900</v>
      </c>
      <c r="D94" s="278">
        <v>42</v>
      </c>
    </row>
    <row r="95" spans="2:4" hidden="1">
      <c r="B95" s="371">
        <v>9990</v>
      </c>
      <c r="C95" s="278">
        <v>45</v>
      </c>
    </row>
    <row r="96" spans="2:4" hidden="1">
      <c r="B96" s="371">
        <v>9999</v>
      </c>
      <c r="C96" s="278">
        <v>94</v>
      </c>
    </row>
    <row r="97" spans="31:37">
      <c r="AE97" s="389"/>
      <c r="AK97" s="389"/>
    </row>
  </sheetData>
  <autoFilter ref="A2:AM96" xr:uid="{9FD19558-A9D7-4A02-998E-5A950FA51CA5}">
    <filterColumn colId="1">
      <filters>
        <filter val="0200"/>
        <filter val="C100"/>
        <filter val="C170"/>
      </filters>
    </filterColumn>
  </autoFilter>
  <phoneticPr fontId="34" type="noConversion"/>
  <pageMargins left="0.511811024" right="0.511811024" top="0.78740157499999996" bottom="0.78740157499999996" header="0.31496062000000002" footer="0.3149606200000000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D91ED-E362-423D-ADA0-E9D1FF326FA6}">
  <dimension ref="C2:E28"/>
  <sheetViews>
    <sheetView showGridLines="0" showRowColHeaders="0" workbookViewId="0">
      <pane ySplit="6" topLeftCell="A7" activePane="bottomLeft" state="frozen"/>
      <selection pane="bottomLeft"/>
    </sheetView>
  </sheetViews>
  <sheetFormatPr defaultRowHeight="14.4"/>
  <cols>
    <col min="3" max="3" width="88.21875" bestFit="1" customWidth="1"/>
    <col min="4" max="4" width="15.77734375" bestFit="1" customWidth="1"/>
  </cols>
  <sheetData>
    <row r="2" spans="3:4" ht="15.6">
      <c r="C2" s="490" t="s">
        <v>366</v>
      </c>
      <c r="D2" s="422" t="s">
        <v>865</v>
      </c>
    </row>
    <row r="3" spans="3:4" ht="15.6">
      <c r="C3" s="490"/>
      <c r="D3" s="422">
        <v>1002</v>
      </c>
    </row>
    <row r="4" spans="3:4" ht="3.6" customHeight="1">
      <c r="C4" s="414"/>
      <c r="D4" s="408"/>
    </row>
    <row r="5" spans="3:4" ht="18">
      <c r="C5" s="412" t="s">
        <v>855</v>
      </c>
      <c r="D5" s="412" t="s">
        <v>429</v>
      </c>
    </row>
    <row r="6" spans="3:4" ht="3" customHeight="1">
      <c r="C6" s="414"/>
      <c r="D6" s="408"/>
    </row>
    <row r="7" spans="3:4" ht="4.2" customHeight="1">
      <c r="C7" s="414"/>
      <c r="D7" s="408"/>
    </row>
    <row r="8" spans="3:4" ht="18">
      <c r="C8" s="421" t="s">
        <v>879</v>
      </c>
      <c r="D8" s="419"/>
    </row>
    <row r="9" spans="3:4" ht="18">
      <c r="C9" s="416" t="s">
        <v>880</v>
      </c>
      <c r="D9" s="417">
        <v>214000</v>
      </c>
    </row>
    <row r="10" spans="3:4" ht="18">
      <c r="C10" s="416" t="s">
        <v>881</v>
      </c>
      <c r="D10" s="417">
        <f>650+30780+1391+6420</f>
        <v>39241</v>
      </c>
    </row>
    <row r="11" spans="3:4" ht="18">
      <c r="C11" s="416" t="s">
        <v>882</v>
      </c>
      <c r="D11" s="417">
        <f>D9-D10</f>
        <v>174759</v>
      </c>
    </row>
    <row r="12" spans="3:4" ht="4.8" customHeight="1"/>
    <row r="13" spans="3:4" ht="18">
      <c r="C13" s="421" t="s">
        <v>895</v>
      </c>
      <c r="D13" s="419"/>
    </row>
    <row r="14" spans="3:4" ht="18">
      <c r="C14" s="416" t="s">
        <v>883</v>
      </c>
      <c r="D14" s="417">
        <v>59400</v>
      </c>
    </row>
    <row r="15" spans="3:4" ht="18">
      <c r="C15" s="416" t="s">
        <v>884</v>
      </c>
      <c r="D15" s="417">
        <f>D11-D14</f>
        <v>115359</v>
      </c>
    </row>
    <row r="16" spans="3:4" ht="5.4" customHeight="1"/>
    <row r="17" spans="3:5" ht="18">
      <c r="C17" s="421" t="s">
        <v>886</v>
      </c>
      <c r="D17" s="419"/>
    </row>
    <row r="18" spans="3:5" ht="18">
      <c r="C18" s="416" t="s">
        <v>885</v>
      </c>
      <c r="D18" s="417">
        <v>14938</v>
      </c>
    </row>
    <row r="19" spans="3:5" ht="18">
      <c r="C19" s="416" t="s">
        <v>887</v>
      </c>
      <c r="D19" s="417">
        <v>5050.6000000000004</v>
      </c>
    </row>
    <row r="20" spans="3:5" ht="18">
      <c r="C20" s="416" t="s">
        <v>888</v>
      </c>
      <c r="D20" s="417">
        <v>0</v>
      </c>
    </row>
    <row r="21" spans="3:5" ht="18">
      <c r="C21" s="416" t="s">
        <v>889</v>
      </c>
      <c r="D21" s="417">
        <f>D15-D18-D19</f>
        <v>95370.4</v>
      </c>
    </row>
    <row r="22" spans="3:5" ht="18">
      <c r="C22" s="416" t="s">
        <v>890</v>
      </c>
      <c r="D22" s="417">
        <v>500</v>
      </c>
    </row>
    <row r="23" spans="3:5" ht="18">
      <c r="C23" s="416" t="s">
        <v>891</v>
      </c>
      <c r="D23" s="417">
        <v>359</v>
      </c>
    </row>
    <row r="24" spans="3:5" ht="5.4" customHeight="1"/>
    <row r="25" spans="3:5" ht="18">
      <c r="C25" s="421" t="s">
        <v>896</v>
      </c>
      <c r="D25" s="420"/>
    </row>
    <row r="26" spans="3:5" ht="18">
      <c r="C26" s="416" t="s">
        <v>892</v>
      </c>
      <c r="D26" s="417">
        <f>D21+D22-D23</f>
        <v>95511.4</v>
      </c>
    </row>
    <row r="27" spans="3:5" ht="18">
      <c r="C27" s="416" t="s">
        <v>893</v>
      </c>
      <c r="D27" s="417">
        <v>5701</v>
      </c>
    </row>
    <row r="28" spans="3:5" ht="18">
      <c r="C28" s="416" t="s">
        <v>894</v>
      </c>
      <c r="D28" s="417">
        <f>D26-D27</f>
        <v>89810.4</v>
      </c>
      <c r="E28" s="423" t="s">
        <v>897</v>
      </c>
    </row>
  </sheetData>
  <mergeCells count="1">
    <mergeCell ref="C2:C3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915F-BCF6-4FFA-8C37-7A41DC50A78D}">
  <dimension ref="A2:E31"/>
  <sheetViews>
    <sheetView showGridLines="0" workbookViewId="0">
      <pane ySplit="6" topLeftCell="A7" activePane="bottomLeft" state="frozen"/>
      <selection pane="bottomLeft"/>
    </sheetView>
  </sheetViews>
  <sheetFormatPr defaultRowHeight="18"/>
  <cols>
    <col min="1" max="1" width="8.88671875" style="408"/>
    <col min="2" max="2" width="48.33203125" style="414" bestFit="1" customWidth="1"/>
    <col min="3" max="3" width="15.77734375" style="408" bestFit="1" customWidth="1"/>
    <col min="4" max="16384" width="8.88671875" style="408"/>
  </cols>
  <sheetData>
    <row r="2" spans="1:5" ht="18" customHeight="1">
      <c r="B2" s="490" t="s">
        <v>854</v>
      </c>
      <c r="C2" s="412" t="s">
        <v>865</v>
      </c>
    </row>
    <row r="3" spans="1:5" ht="18" customHeight="1">
      <c r="B3" s="490"/>
      <c r="C3" s="412">
        <v>1002</v>
      </c>
    </row>
    <row r="4" spans="1:5" ht="4.2" customHeight="1"/>
    <row r="5" spans="1:5" s="410" customFormat="1">
      <c r="B5" s="412" t="s">
        <v>855</v>
      </c>
      <c r="C5" s="412" t="s">
        <v>429</v>
      </c>
      <c r="D5" s="411"/>
      <c r="E5" s="411"/>
    </row>
    <row r="6" spans="1:5" s="409" customFormat="1" ht="4.2" customHeight="1">
      <c r="A6" s="408"/>
      <c r="B6" s="414"/>
      <c r="C6" s="408"/>
      <c r="D6" s="408"/>
      <c r="E6" s="408"/>
    </row>
    <row r="7" spans="1:5" s="409" customFormat="1" ht="5.4" customHeight="1">
      <c r="A7" s="408"/>
      <c r="B7" s="414"/>
      <c r="C7" s="408"/>
      <c r="D7" s="408"/>
      <c r="E7" s="408"/>
    </row>
    <row r="8" spans="1:5" s="409" customFormat="1">
      <c r="A8" s="408"/>
      <c r="B8" s="415" t="s">
        <v>856</v>
      </c>
      <c r="C8" s="418">
        <f>C9+C16</f>
        <v>0</v>
      </c>
      <c r="D8" s="408"/>
      <c r="E8" s="408"/>
    </row>
    <row r="9" spans="1:5" s="409" customFormat="1">
      <c r="A9" s="408"/>
      <c r="B9" s="415" t="s">
        <v>857</v>
      </c>
      <c r="C9" s="418">
        <f>SUM(C10:C15)</f>
        <v>0</v>
      </c>
      <c r="D9" s="408"/>
      <c r="E9" s="408"/>
    </row>
    <row r="10" spans="1:5">
      <c r="B10" s="416" t="s">
        <v>858</v>
      </c>
      <c r="C10" s="417"/>
    </row>
    <row r="11" spans="1:5">
      <c r="B11" s="416" t="s">
        <v>859</v>
      </c>
      <c r="C11" s="417"/>
    </row>
    <row r="12" spans="1:5">
      <c r="B12" s="416" t="s">
        <v>860</v>
      </c>
      <c r="C12" s="417"/>
    </row>
    <row r="13" spans="1:5">
      <c r="B13" s="416" t="s">
        <v>863</v>
      </c>
      <c r="C13" s="417"/>
    </row>
    <row r="14" spans="1:5">
      <c r="B14" s="416" t="s">
        <v>861</v>
      </c>
      <c r="C14" s="417"/>
    </row>
    <row r="15" spans="1:5">
      <c r="B15" s="416" t="s">
        <v>862</v>
      </c>
      <c r="C15" s="417"/>
    </row>
    <row r="16" spans="1:5">
      <c r="B16" s="415" t="s">
        <v>864</v>
      </c>
      <c r="C16" s="418">
        <f>SUM(C17:C19)</f>
        <v>0</v>
      </c>
      <c r="E16" s="414"/>
    </row>
    <row r="17" spans="2:5">
      <c r="B17" s="416" t="s">
        <v>869</v>
      </c>
      <c r="C17" s="413"/>
    </row>
    <row r="18" spans="2:5">
      <c r="B18" s="416" t="s">
        <v>870</v>
      </c>
      <c r="C18" s="413"/>
      <c r="E18" s="414"/>
    </row>
    <row r="19" spans="2:5">
      <c r="B19" s="416" t="s">
        <v>871</v>
      </c>
      <c r="C19" s="413"/>
    </row>
    <row r="20" spans="2:5" ht="2.4" customHeight="1">
      <c r="E20" s="414"/>
    </row>
    <row r="21" spans="2:5">
      <c r="B21" s="415" t="s">
        <v>866</v>
      </c>
      <c r="C21" s="418">
        <f>C22+C27</f>
        <v>0</v>
      </c>
    </row>
    <row r="22" spans="2:5">
      <c r="B22" s="415" t="s">
        <v>857</v>
      </c>
      <c r="C22" s="418">
        <f>SUM(C23:C26)</f>
        <v>0</v>
      </c>
      <c r="E22" s="414"/>
    </row>
    <row r="23" spans="2:5">
      <c r="B23" s="416" t="s">
        <v>872</v>
      </c>
      <c r="C23" s="417"/>
    </row>
    <row r="24" spans="2:5">
      <c r="B24" s="416" t="s">
        <v>873</v>
      </c>
      <c r="C24" s="417"/>
    </row>
    <row r="25" spans="2:5">
      <c r="B25" s="416" t="s">
        <v>874</v>
      </c>
      <c r="C25" s="417"/>
    </row>
    <row r="26" spans="2:5">
      <c r="B26" s="416" t="s">
        <v>867</v>
      </c>
      <c r="C26" s="417"/>
    </row>
    <row r="27" spans="2:5">
      <c r="B27" s="415" t="s">
        <v>868</v>
      </c>
      <c r="C27" s="418">
        <f>SUM(C28:C31)</f>
        <v>0</v>
      </c>
    </row>
    <row r="28" spans="2:5">
      <c r="B28" s="416" t="s">
        <v>875</v>
      </c>
      <c r="C28" s="417"/>
    </row>
    <row r="29" spans="2:5">
      <c r="B29" s="416" t="s">
        <v>876</v>
      </c>
      <c r="C29" s="417"/>
    </row>
    <row r="30" spans="2:5">
      <c r="B30" s="416" t="s">
        <v>877</v>
      </c>
      <c r="C30" s="417"/>
    </row>
    <row r="31" spans="2:5">
      <c r="B31" s="416" t="s">
        <v>878</v>
      </c>
      <c r="C31" s="417"/>
    </row>
  </sheetData>
  <mergeCells count="1">
    <mergeCell ref="B2:B3"/>
  </mergeCells>
  <phoneticPr fontId="34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2</vt:i4>
      </vt:variant>
    </vt:vector>
  </HeadingPairs>
  <TitlesOfParts>
    <vt:vector size="29" baseType="lpstr">
      <vt:lpstr>ANOTAÇÕES</vt:lpstr>
      <vt:lpstr>INDICE</vt:lpstr>
      <vt:lpstr>EXTRATO</vt:lpstr>
      <vt:lpstr>DEPRECIAÇÃO</vt:lpstr>
      <vt:lpstr>ESTOQUE</vt:lpstr>
      <vt:lpstr>APURAÇÃO</vt:lpstr>
      <vt:lpstr>PLANO DE CONTAS</vt:lpstr>
      <vt:lpstr>LANÇAMENTOS</vt:lpstr>
      <vt:lpstr>DIÁRIO</vt:lpstr>
      <vt:lpstr>RAZÃO</vt:lpstr>
      <vt:lpstr>BALANCETE</vt:lpstr>
      <vt:lpstr>BALANÇO</vt:lpstr>
      <vt:lpstr>DRE</vt:lpstr>
      <vt:lpstr>TABELA ICMS</vt:lpstr>
      <vt:lpstr>ALÍQUOTA ICMS</vt:lpstr>
      <vt:lpstr>ICMS</vt:lpstr>
      <vt:lpstr>ISS</vt:lpstr>
      <vt:lpstr>PIS E COFINS</vt:lpstr>
      <vt:lpstr>IRPJ E CSLL</vt:lpstr>
      <vt:lpstr>GRÁFICOS</vt:lpstr>
      <vt:lpstr>EFD CONTRIBUIÇÕES</vt:lpstr>
      <vt:lpstr>EFD ICMS IPI</vt:lpstr>
      <vt:lpstr>TXT EFD ICMS IPI OUT</vt:lpstr>
      <vt:lpstr>CRUZAMENTO</vt:lpstr>
      <vt:lpstr>TXT EFD CONTRIBUIÇÕES</vt:lpstr>
      <vt:lpstr>DRE NBG TG 1002</vt:lpstr>
      <vt:lpstr>BP NBC TG 1002</vt:lpstr>
      <vt:lpstr>BALANCETE</vt:lpstr>
      <vt:lpstr>PLANO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Marcio Leandro Costa</dc:creator>
  <cp:lastModifiedBy>Angelo Costa</cp:lastModifiedBy>
  <dcterms:created xsi:type="dcterms:W3CDTF">2018-01-16T12:43:29Z</dcterms:created>
  <dcterms:modified xsi:type="dcterms:W3CDTF">2025-03-18T12:45:16Z</dcterms:modified>
</cp:coreProperties>
</file>